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EstaPasta_de_trabalho" defaultThemeVersion="124226"/>
  <mc:AlternateContent xmlns:mc="http://schemas.openxmlformats.org/markup-compatibility/2006">
    <mc:Choice Requires="x15">
      <x15ac:absPath xmlns:x15ac="http://schemas.microsoft.com/office/spreadsheetml/2010/11/ac" url="C:\Users\212539536\Box Sync\MN Product Management\Cortecs\S20\"/>
    </mc:Choice>
  </mc:AlternateContent>
  <xr:revisionPtr revIDLastSave="0" documentId="13_ncr:1_{AB8ED633-FB95-40AC-8817-2598D8CBCCCD}" xr6:coauthVersionLast="36" xr6:coauthVersionMax="36" xr10:uidLastSave="{00000000-0000-0000-0000-000000000000}"/>
  <workbookProtection workbookPassword="C927" lockStructure="1"/>
  <bookViews>
    <workbookView xWindow="30" yWindow="150" windowWidth="13035" windowHeight="11700" tabRatio="788" xr2:uid="{00000000-000D-0000-FFFF-FFFF00000000}"/>
  </bookViews>
  <sheets>
    <sheet name="Disclaimer" sheetId="7" r:id="rId1"/>
    <sheet name="Cortec" sheetId="6" r:id="rId2"/>
    <sheet name="Configurator" sheetId="5" r:id="rId3"/>
    <sheet name="Master Text" sheetId="4" r:id="rId4"/>
    <sheet name="Accessories" sheetId="8" r:id="rId5"/>
    <sheet name="Database" sheetId="3" state="hidden" r:id="rId6"/>
    <sheet name="Date Drivers" sheetId="2" state="hidden" r:id="rId7"/>
    <sheet name="Language" sheetId="1" state="hidden" r:id="rId8"/>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 i="4" l="1"/>
  <c r="D33" i="4" l="1"/>
  <c r="AB1" i="2"/>
  <c r="D32" i="4" l="1"/>
  <c r="X1" i="2" l="1"/>
  <c r="D31" i="4" l="1"/>
  <c r="T1" i="2"/>
  <c r="D30" i="4" l="1"/>
  <c r="D59" i="3"/>
  <c r="P1" i="2"/>
  <c r="K2" i="3"/>
  <c r="D29" i="4" l="1"/>
  <c r="D28" i="4"/>
  <c r="L1" i="2"/>
  <c r="C1" i="2"/>
  <c r="G1" i="2"/>
  <c r="D53" i="3"/>
  <c r="D54" i="3" s="1"/>
  <c r="D55" i="3" s="1"/>
  <c r="C58" i="3"/>
  <c r="C59" i="3" s="1"/>
  <c r="D20" i="3"/>
  <c r="D21" i="3" s="1"/>
  <c r="D22" i="3" s="1"/>
  <c r="D23" i="3" s="1"/>
  <c r="D24" i="3" s="1"/>
  <c r="D25" i="3" s="1"/>
  <c r="D26" i="3" s="1"/>
  <c r="D27" i="3" s="1"/>
  <c r="D28" i="3" s="1"/>
  <c r="D29" i="3" s="1"/>
  <c r="D30" i="3" s="1"/>
  <c r="D31" i="3" s="1"/>
  <c r="D11" i="3"/>
  <c r="D12" i="3" s="1"/>
  <c r="C61" i="3"/>
  <c r="C62" i="3" s="1"/>
  <c r="C52" i="3"/>
  <c r="C53" i="3" s="1"/>
  <c r="C54" i="3" s="1"/>
  <c r="C55" i="3" s="1"/>
  <c r="D47" i="3"/>
  <c r="D48" i="3" s="1"/>
  <c r="D49" i="3" s="1"/>
  <c r="C6" i="3"/>
  <c r="C46" i="3"/>
  <c r="C47" i="3" s="1"/>
  <c r="C48" i="3" s="1"/>
  <c r="C49" i="3" s="1"/>
  <c r="D41" i="3"/>
  <c r="D42" i="3" s="1"/>
  <c r="D43" i="3" s="1"/>
  <c r="D35" i="3"/>
  <c r="D36" i="3" s="1"/>
  <c r="D37" i="3" s="1"/>
  <c r="C40" i="3"/>
  <c r="C34" i="3"/>
  <c r="C35" i="3" s="1"/>
  <c r="C36" i="3" s="1"/>
  <c r="C37" i="3" s="1"/>
  <c r="C19" i="3"/>
  <c r="C20" i="3" s="1"/>
  <c r="C21" i="3" s="1"/>
  <c r="C22" i="3" s="1"/>
  <c r="C23" i="3" s="1"/>
  <c r="C24" i="3" s="1"/>
  <c r="C25" i="3" s="1"/>
  <c r="C26" i="3" s="1"/>
  <c r="C27" i="3" s="1"/>
  <c r="C28" i="3" s="1"/>
  <c r="C29" i="3" s="1"/>
  <c r="C30" i="3" s="1"/>
  <c r="C31" i="3" s="1"/>
  <c r="C15" i="3"/>
  <c r="C10" i="3"/>
  <c r="C11" i="3" s="1"/>
  <c r="C12" i="3" s="1"/>
  <c r="C3" i="1"/>
  <c r="B3" i="1"/>
  <c r="K1" i="3"/>
  <c r="C33" i="4" l="1"/>
  <c r="A1" i="8"/>
  <c r="B1" i="7"/>
  <c r="C35" i="4"/>
  <c r="C34" i="4"/>
  <c r="A1" i="4"/>
  <c r="A1" i="5"/>
  <c r="A1" i="6"/>
  <c r="B12" i="8"/>
  <c r="B5" i="8"/>
  <c r="AB28" i="2"/>
  <c r="AB27" i="2"/>
  <c r="AB26" i="2"/>
  <c r="AB53" i="2"/>
  <c r="AB25" i="2"/>
  <c r="AB24" i="2"/>
  <c r="AB48" i="2"/>
  <c r="AB43" i="2"/>
  <c r="AB38" i="2"/>
  <c r="AB33" i="2"/>
  <c r="AB20" i="2"/>
  <c r="AB16" i="2"/>
  <c r="AB9" i="2"/>
  <c r="AB4" i="2"/>
  <c r="AB30" i="2"/>
  <c r="AB5" i="2"/>
  <c r="AB52" i="2"/>
  <c r="AB47" i="2"/>
  <c r="AB42" i="2"/>
  <c r="AB37" i="2"/>
  <c r="AB32" i="2"/>
  <c r="AB23" i="2"/>
  <c r="AB19" i="2"/>
  <c r="AB13" i="2"/>
  <c r="AB7" i="2"/>
  <c r="AB45" i="2"/>
  <c r="AB40" i="2"/>
  <c r="AB17" i="2"/>
  <c r="AB51" i="2"/>
  <c r="AB46" i="2"/>
  <c r="AB41" i="2"/>
  <c r="AB36" i="2"/>
  <c r="AB31" i="2"/>
  <c r="AB22" i="2"/>
  <c r="AB18" i="2"/>
  <c r="AB11" i="2"/>
  <c r="AB6" i="2"/>
  <c r="AB50" i="2"/>
  <c r="AB35" i="2"/>
  <c r="AB21" i="2"/>
  <c r="AB10" i="2"/>
  <c r="B3" i="7"/>
  <c r="C32" i="4"/>
  <c r="B11" i="8"/>
  <c r="X51" i="2"/>
  <c r="B9" i="8"/>
  <c r="B8" i="8"/>
  <c r="X50" i="2"/>
  <c r="X52" i="2"/>
  <c r="X45" i="2"/>
  <c r="X40" i="2"/>
  <c r="X35" i="2"/>
  <c r="X30" i="2"/>
  <c r="X25" i="2"/>
  <c r="X21" i="2"/>
  <c r="X17" i="2"/>
  <c r="X10" i="2"/>
  <c r="X5" i="2"/>
  <c r="X48" i="2"/>
  <c r="X43" i="2"/>
  <c r="X38" i="2"/>
  <c r="X33" i="2"/>
  <c r="X28" i="2"/>
  <c r="X24" i="2"/>
  <c r="X20" i="2"/>
  <c r="X16" i="2"/>
  <c r="X9" i="2"/>
  <c r="X4" i="2"/>
  <c r="X47" i="2"/>
  <c r="X42" i="2"/>
  <c r="X37" i="2"/>
  <c r="X32" i="2"/>
  <c r="X27" i="2"/>
  <c r="X23" i="2"/>
  <c r="X19" i="2"/>
  <c r="X13" i="2"/>
  <c r="X7" i="2"/>
  <c r="X53" i="2"/>
  <c r="X46" i="2"/>
  <c r="X41" i="2"/>
  <c r="X36" i="2"/>
  <c r="X31" i="2"/>
  <c r="X26" i="2"/>
  <c r="X22" i="2"/>
  <c r="X18" i="2"/>
  <c r="X11" i="2"/>
  <c r="X6" i="2"/>
  <c r="G43" i="2"/>
  <c r="C36" i="2"/>
  <c r="B6" i="8"/>
  <c r="A2" i="8"/>
  <c r="B7" i="8"/>
  <c r="B10" i="8"/>
  <c r="C28" i="4"/>
  <c r="B3" i="8"/>
  <c r="A3" i="8"/>
  <c r="G10" i="2"/>
  <c r="L47" i="2"/>
  <c r="C31" i="4"/>
  <c r="T50" i="2"/>
  <c r="T45" i="2"/>
  <c r="T40" i="2"/>
  <c r="T35" i="2"/>
  <c r="T30" i="2"/>
  <c r="T25" i="2"/>
  <c r="T21" i="2"/>
  <c r="T17" i="2"/>
  <c r="T10" i="2"/>
  <c r="T5" i="2"/>
  <c r="T48" i="2"/>
  <c r="T43" i="2"/>
  <c r="T38" i="2"/>
  <c r="T33" i="2"/>
  <c r="T28" i="2"/>
  <c r="T24" i="2"/>
  <c r="T20" i="2"/>
  <c r="T16" i="2"/>
  <c r="T9" i="2"/>
  <c r="T4" i="2"/>
  <c r="T53" i="2"/>
  <c r="T47" i="2"/>
  <c r="T42" i="2"/>
  <c r="T37" i="2"/>
  <c r="T32" i="2"/>
  <c r="T27" i="2"/>
  <c r="T23" i="2"/>
  <c r="T19" i="2"/>
  <c r="T13" i="2"/>
  <c r="T7" i="2"/>
  <c r="T52" i="2"/>
  <c r="T46" i="2"/>
  <c r="T41" i="2"/>
  <c r="T36" i="2"/>
  <c r="T31" i="2"/>
  <c r="T26" i="2"/>
  <c r="T22" i="2"/>
  <c r="T18" i="2"/>
  <c r="T11" i="2"/>
  <c r="T6" i="2"/>
  <c r="P51" i="2"/>
  <c r="P50" i="2"/>
  <c r="C30" i="4"/>
  <c r="P52" i="2"/>
  <c r="P45" i="2"/>
  <c r="P40" i="2"/>
  <c r="P35" i="2"/>
  <c r="P30" i="2"/>
  <c r="P25" i="2"/>
  <c r="P21" i="2"/>
  <c r="P17" i="2"/>
  <c r="P10" i="2"/>
  <c r="P5" i="2"/>
  <c r="P48" i="2"/>
  <c r="P43" i="2"/>
  <c r="P38" i="2"/>
  <c r="P33" i="2"/>
  <c r="P28" i="2"/>
  <c r="P24" i="2"/>
  <c r="P20" i="2"/>
  <c r="P16" i="2"/>
  <c r="P9" i="2"/>
  <c r="P4" i="2"/>
  <c r="P47" i="2"/>
  <c r="P42" i="2"/>
  <c r="P37" i="2"/>
  <c r="P32" i="2"/>
  <c r="P27" i="2"/>
  <c r="P23" i="2"/>
  <c r="P19" i="2"/>
  <c r="P13" i="2"/>
  <c r="P7" i="2"/>
  <c r="P53" i="2"/>
  <c r="P46" i="2"/>
  <c r="P41" i="2"/>
  <c r="P36" i="2"/>
  <c r="P31" i="2"/>
  <c r="P26" i="2"/>
  <c r="P22" i="2"/>
  <c r="P18" i="2"/>
  <c r="P11" i="2"/>
  <c r="P6" i="2"/>
  <c r="L7" i="2"/>
  <c r="G20" i="2"/>
  <c r="C45" i="2"/>
  <c r="C24" i="2"/>
  <c r="C21" i="2"/>
  <c r="L19" i="2"/>
  <c r="G4" i="2"/>
  <c r="G41" i="2"/>
  <c r="C38" i="2"/>
  <c r="L32" i="2"/>
  <c r="G32" i="2"/>
  <c r="G50" i="2"/>
  <c r="C16" i="2"/>
  <c r="L53" i="2"/>
  <c r="C29" i="4"/>
  <c r="G19" i="2"/>
  <c r="B6" i="2"/>
  <c r="B5" i="3" s="1"/>
  <c r="A5" i="5" s="1"/>
  <c r="C17" i="2"/>
  <c r="G26" i="2"/>
  <c r="G35" i="2"/>
  <c r="C19" i="2"/>
  <c r="C20" i="2"/>
  <c r="B11" i="7"/>
  <c r="B4" i="2"/>
  <c r="B2" i="3" s="1"/>
  <c r="A6" i="6" s="1"/>
  <c r="B13" i="2"/>
  <c r="B14" i="3" s="1"/>
  <c r="A18" i="6" s="1"/>
  <c r="A26" i="4"/>
  <c r="L20" i="2"/>
  <c r="G24" i="2"/>
  <c r="G37" i="2"/>
  <c r="B40" i="2"/>
  <c r="B45" i="3" s="1"/>
  <c r="C52" i="2"/>
  <c r="G46" i="2"/>
  <c r="G6" i="2"/>
  <c r="G17" i="2"/>
  <c r="B35" i="2"/>
  <c r="C27" i="4"/>
  <c r="C30" i="2"/>
  <c r="C13" i="2"/>
  <c r="C4" i="2"/>
  <c r="L4" i="2"/>
  <c r="L16" i="2"/>
  <c r="L27" i="2"/>
  <c r="L50" i="2"/>
  <c r="L45" i="2"/>
  <c r="L40" i="2"/>
  <c r="L35" i="2"/>
  <c r="L30" i="2"/>
  <c r="L25" i="2"/>
  <c r="L21" i="2"/>
  <c r="L17" i="2"/>
  <c r="L10" i="2"/>
  <c r="L5" i="2"/>
  <c r="C11" i="2"/>
  <c r="C10" i="2"/>
  <c r="C18" i="2"/>
  <c r="B9" i="2"/>
  <c r="B9" i="3" s="1"/>
  <c r="A6" i="4" s="1"/>
  <c r="C5" i="2"/>
  <c r="E3" i="3" s="1"/>
  <c r="F4" i="5" s="1"/>
  <c r="B6" i="7"/>
  <c r="T2" i="5"/>
  <c r="C31" i="2"/>
  <c r="A2" i="6"/>
  <c r="B4" i="7"/>
  <c r="B50" i="2"/>
  <c r="B57" i="3" s="1"/>
  <c r="A60" i="6" s="1"/>
  <c r="G5" i="2"/>
  <c r="G25" i="2"/>
  <c r="G45" i="2"/>
  <c r="G18" i="2"/>
  <c r="G36" i="2"/>
  <c r="C35" i="2"/>
  <c r="D4" i="6"/>
  <c r="C47" i="2"/>
  <c r="C9" i="2"/>
  <c r="G7" i="2"/>
  <c r="G27" i="2"/>
  <c r="G47" i="2"/>
  <c r="G16" i="2"/>
  <c r="G33" i="2"/>
  <c r="L28" i="2"/>
  <c r="L52" i="2"/>
  <c r="L46" i="2"/>
  <c r="L41" i="2"/>
  <c r="L36" i="2"/>
  <c r="L31" i="2"/>
  <c r="L26" i="2"/>
  <c r="L22" i="2"/>
  <c r="L18" i="2"/>
  <c r="L11" i="2"/>
  <c r="L6" i="2"/>
  <c r="B45" i="2"/>
  <c r="B51" i="3" s="1"/>
  <c r="A19" i="5" s="1"/>
  <c r="C32" i="2"/>
  <c r="C33" i="2"/>
  <c r="C53" i="2"/>
  <c r="B52" i="2"/>
  <c r="B60" i="3" s="1"/>
  <c r="A23" i="5" s="1"/>
  <c r="C43" i="2"/>
  <c r="B16" i="2"/>
  <c r="B18" i="3" s="1"/>
  <c r="A11" i="5" s="1"/>
  <c r="C48" i="2"/>
  <c r="C41" i="2"/>
  <c r="C23" i="2"/>
  <c r="G21" i="2"/>
  <c r="G40" i="2"/>
  <c r="G11" i="2"/>
  <c r="G31" i="2"/>
  <c r="G52" i="2"/>
  <c r="C50" i="2"/>
  <c r="C40" i="2"/>
  <c r="C6" i="2"/>
  <c r="G23" i="2"/>
  <c r="G42" i="2"/>
  <c r="G9" i="2"/>
  <c r="G28" i="2"/>
  <c r="G48" i="2"/>
  <c r="L48" i="2"/>
  <c r="L43" i="2"/>
  <c r="L38" i="2"/>
  <c r="L33" i="2"/>
  <c r="L24" i="2"/>
  <c r="L9" i="2"/>
  <c r="L37" i="2"/>
  <c r="G38" i="2"/>
  <c r="G53" i="2"/>
  <c r="G13" i="2"/>
  <c r="C42" i="2"/>
  <c r="C22" i="2"/>
  <c r="G22" i="2"/>
  <c r="G30" i="2"/>
  <c r="B30" i="2"/>
  <c r="B33" i="3" s="1"/>
  <c r="A13" i="5" s="1"/>
  <c r="C7" i="2"/>
  <c r="A4" i="6"/>
  <c r="C37" i="2"/>
  <c r="C46" i="2"/>
  <c r="C7" i="3"/>
  <c r="L13" i="2"/>
  <c r="L23" i="2"/>
  <c r="L42" i="2"/>
  <c r="B39" i="3"/>
  <c r="A15" i="5" s="1"/>
  <c r="C41" i="3"/>
  <c r="G59" i="3"/>
  <c r="E59" i="3"/>
  <c r="F59" i="3"/>
  <c r="M62" i="6" l="1"/>
  <c r="A62" i="6"/>
  <c r="D7" i="6"/>
  <c r="A22" i="4"/>
  <c r="A64" i="6"/>
  <c r="A7" i="5"/>
  <c r="A36" i="6"/>
  <c r="A13" i="6"/>
  <c r="A9" i="5"/>
  <c r="A42" i="6"/>
  <c r="A21" i="6"/>
  <c r="A9" i="6"/>
  <c r="A21" i="5"/>
  <c r="A20" i="4"/>
  <c r="A14" i="4"/>
  <c r="A12" i="4"/>
  <c r="A4" i="4"/>
  <c r="A8" i="4"/>
  <c r="A18" i="4"/>
  <c r="A10" i="4"/>
  <c r="A54" i="6"/>
  <c r="C42" i="3"/>
  <c r="A17" i="5"/>
  <c r="A48" i="6"/>
  <c r="A16" i="4"/>
  <c r="C43" i="3" l="1"/>
  <c r="G25" i="3"/>
  <c r="G11" i="3"/>
  <c r="F22" i="3"/>
  <c r="E43" i="3"/>
  <c r="G10" i="3"/>
  <c r="H54" i="3"/>
  <c r="H37" i="3"/>
  <c r="E29" i="3"/>
  <c r="G22" i="3"/>
  <c r="H21" i="3"/>
  <c r="H53" i="3"/>
  <c r="E53" i="3"/>
  <c r="G49" i="3"/>
  <c r="G48" i="3"/>
  <c r="G40" i="3"/>
  <c r="H20" i="3"/>
  <c r="G52" i="3"/>
  <c r="E27" i="3"/>
  <c r="F15" i="3"/>
  <c r="G7" i="3"/>
  <c r="E31" i="3"/>
  <c r="F46" i="3"/>
  <c r="H52" i="3"/>
  <c r="F23" i="3"/>
  <c r="F34" i="3"/>
  <c r="F31" i="3"/>
  <c r="G35" i="3"/>
  <c r="G15" i="3"/>
  <c r="H35" i="3"/>
  <c r="F40" i="3"/>
  <c r="G31" i="3"/>
  <c r="G46" i="3"/>
  <c r="E46" i="3"/>
  <c r="F36" i="3"/>
  <c r="F55" i="3"/>
  <c r="F54" i="3"/>
  <c r="E58" i="3"/>
  <c r="F48" i="3"/>
  <c r="F10" i="3"/>
  <c r="H46" i="3"/>
  <c r="E54" i="3"/>
  <c r="E41" i="3"/>
  <c r="G54" i="3"/>
  <c r="E11" i="3"/>
  <c r="G34" i="3"/>
  <c r="G27" i="3"/>
  <c r="H28" i="3"/>
  <c r="H26" i="3"/>
  <c r="H48" i="3"/>
  <c r="E55" i="3"/>
  <c r="E10" i="3"/>
  <c r="E20" i="3"/>
  <c r="H49" i="3"/>
  <c r="H30" i="3"/>
  <c r="F27" i="3"/>
  <c r="F11" i="3"/>
  <c r="G6" i="3"/>
  <c r="E52" i="3"/>
  <c r="G12" i="3"/>
  <c r="F37" i="3"/>
  <c r="H34" i="3"/>
  <c r="H24" i="3"/>
  <c r="E15" i="3"/>
  <c r="H25" i="3"/>
  <c r="G58" i="3"/>
  <c r="H31" i="3"/>
  <c r="F21" i="3"/>
  <c r="F52" i="3"/>
  <c r="E40" i="3"/>
  <c r="H29" i="3"/>
  <c r="G55" i="3"/>
  <c r="G62" i="3"/>
  <c r="E36" i="3"/>
  <c r="F61" i="3"/>
  <c r="E26" i="3"/>
  <c r="H27" i="3"/>
  <c r="H58" i="3"/>
  <c r="E61" i="3"/>
  <c r="E28" i="3"/>
  <c r="G53" i="3"/>
  <c r="G30" i="3"/>
  <c r="G23" i="3"/>
  <c r="F25" i="3"/>
  <c r="E37" i="3"/>
  <c r="G26" i="3"/>
  <c r="G47" i="3"/>
  <c r="F41" i="3"/>
  <c r="H62" i="3"/>
  <c r="H19" i="3"/>
  <c r="G29" i="3"/>
  <c r="E21" i="3"/>
  <c r="G42" i="3"/>
  <c r="H11" i="3"/>
  <c r="H55" i="3"/>
  <c r="H7" i="3"/>
  <c r="E22" i="3"/>
  <c r="H36" i="3"/>
  <c r="H42" i="3"/>
  <c r="H47" i="3"/>
  <c r="E23" i="3"/>
  <c r="H12" i="3"/>
  <c r="F29" i="3"/>
  <c r="H22" i="3"/>
  <c r="E34" i="3"/>
  <c r="H41" i="3"/>
  <c r="F26" i="3"/>
  <c r="E42" i="3"/>
  <c r="H2" i="3"/>
  <c r="F43" i="3"/>
  <c r="E47" i="3"/>
  <c r="G19" i="3"/>
  <c r="F19" i="3"/>
  <c r="E49" i="3"/>
  <c r="G61" i="3"/>
  <c r="H61" i="3"/>
  <c r="G37" i="3"/>
  <c r="G20" i="3"/>
  <c r="E2" i="3"/>
  <c r="E48" i="3"/>
  <c r="F6" i="3"/>
  <c r="G24" i="3"/>
  <c r="H43" i="3"/>
  <c r="E6" i="3"/>
  <c r="E25" i="3"/>
  <c r="H6" i="3"/>
  <c r="F53" i="3"/>
  <c r="F12" i="3"/>
  <c r="F35" i="3"/>
  <c r="E35" i="3"/>
  <c r="E62" i="3"/>
  <c r="H15" i="3"/>
  <c r="E24" i="3"/>
  <c r="F42" i="3"/>
  <c r="F30" i="3"/>
  <c r="F49" i="3"/>
  <c r="F20" i="3"/>
  <c r="G41" i="3"/>
  <c r="E30" i="3"/>
  <c r="G21" i="3"/>
  <c r="F7" i="3"/>
  <c r="F24" i="3"/>
  <c r="F62" i="3"/>
  <c r="H23" i="3"/>
  <c r="F58" i="3"/>
  <c r="E7" i="3"/>
  <c r="E12" i="3"/>
  <c r="E19" i="3"/>
  <c r="F28" i="3"/>
  <c r="H10" i="3"/>
  <c r="G43" i="3"/>
  <c r="G28" i="3"/>
  <c r="H40" i="3"/>
  <c r="G2" i="3"/>
  <c r="F47" i="3"/>
  <c r="G36" i="3"/>
  <c r="K50" i="6" l="1"/>
  <c r="T4" i="5"/>
  <c r="T3" i="5" s="1"/>
  <c r="G39" i="3"/>
  <c r="H31" i="6"/>
  <c r="E18" i="3"/>
  <c r="A11" i="4" s="1"/>
  <c r="A22" i="6"/>
  <c r="A16" i="6"/>
  <c r="E5" i="3"/>
  <c r="A5" i="4" s="1"/>
  <c r="A11" i="6"/>
  <c r="F57" i="3"/>
  <c r="M61" i="6"/>
  <c r="N66" i="6"/>
  <c r="H27" i="6"/>
  <c r="E11" i="6"/>
  <c r="F5" i="3"/>
  <c r="A33" i="6"/>
  <c r="H23" i="6"/>
  <c r="K52" i="6"/>
  <c r="H33" i="6"/>
  <c r="J45" i="6"/>
  <c r="A27" i="6"/>
  <c r="H14" i="3"/>
  <c r="V10" i="5" s="1"/>
  <c r="A66" i="6"/>
  <c r="A38" i="6"/>
  <c r="I38" i="6"/>
  <c r="F16" i="6"/>
  <c r="L56" i="6"/>
  <c r="A28" i="6"/>
  <c r="A10" i="6"/>
  <c r="H39" i="3"/>
  <c r="V16" i="5" s="1"/>
  <c r="E10" i="6"/>
  <c r="A51" i="6"/>
  <c r="A2" i="5"/>
  <c r="A3" i="4"/>
  <c r="A7" i="6" s="1"/>
  <c r="H60" i="3"/>
  <c r="V24" i="5" s="1"/>
  <c r="G60" i="3"/>
  <c r="A52" i="6"/>
  <c r="F18" i="3"/>
  <c r="G12" i="5" s="1"/>
  <c r="J4" i="5" s="1"/>
  <c r="H22" i="6"/>
  <c r="G18" i="3"/>
  <c r="A50" i="6"/>
  <c r="J46" i="6"/>
  <c r="F39" i="3"/>
  <c r="G16" i="5" s="1"/>
  <c r="L4" i="5" s="1"/>
  <c r="A45" i="6"/>
  <c r="H29" i="6"/>
  <c r="A37" i="6"/>
  <c r="E33" i="3"/>
  <c r="A13" i="4" s="1"/>
  <c r="H32" i="6"/>
  <c r="A26" i="6"/>
  <c r="A25" i="6"/>
  <c r="H5" i="3"/>
  <c r="V6" i="5" s="1"/>
  <c r="H9" i="3"/>
  <c r="V8" i="5" s="1"/>
  <c r="A24" i="6"/>
  <c r="H18" i="3"/>
  <c r="V12" i="5" s="1"/>
  <c r="J44" i="6"/>
  <c r="A40" i="6"/>
  <c r="H28" i="6"/>
  <c r="A31" i="6"/>
  <c r="A65" i="6"/>
  <c r="E60" i="3"/>
  <c r="H57" i="3"/>
  <c r="V22" i="5" s="1"/>
  <c r="A29" i="6"/>
  <c r="F60" i="3"/>
  <c r="N65" i="6"/>
  <c r="A39" i="6"/>
  <c r="A43" i="6"/>
  <c r="F51" i="3"/>
  <c r="G20" i="5" s="1"/>
  <c r="N4" i="5" s="1"/>
  <c r="L55" i="6"/>
  <c r="H24" i="6"/>
  <c r="G57" i="3"/>
  <c r="E14" i="3"/>
  <c r="A9" i="4" s="1"/>
  <c r="A19" i="6"/>
  <c r="H33" i="3"/>
  <c r="V14" i="5" s="1"/>
  <c r="I40" i="6"/>
  <c r="A55" i="6"/>
  <c r="E51" i="3"/>
  <c r="A19" i="4" s="1"/>
  <c r="F9" i="3"/>
  <c r="G8" i="5" s="1"/>
  <c r="H4" i="5" s="1"/>
  <c r="F15" i="6"/>
  <c r="H30" i="6"/>
  <c r="A23" i="6"/>
  <c r="A14" i="6"/>
  <c r="A58" i="6"/>
  <c r="G33" i="3"/>
  <c r="E9" i="3"/>
  <c r="A7" i="4" s="1"/>
  <c r="A15" i="6"/>
  <c r="A44" i="6"/>
  <c r="A57" i="6"/>
  <c r="H45" i="3"/>
  <c r="V18" i="5" s="1"/>
  <c r="F14" i="6"/>
  <c r="K51" i="6"/>
  <c r="A61" i="6"/>
  <c r="E57" i="3"/>
  <c r="L57" i="6"/>
  <c r="L58" i="6"/>
  <c r="I39" i="6"/>
  <c r="A49" i="6"/>
  <c r="E45" i="3"/>
  <c r="A17" i="4" s="1"/>
  <c r="G45" i="3"/>
  <c r="J43" i="6"/>
  <c r="G14" i="3"/>
  <c r="H34" i="6"/>
  <c r="I37" i="6"/>
  <c r="F33" i="3"/>
  <c r="G14" i="5" s="1"/>
  <c r="K4" i="5" s="1"/>
  <c r="H26" i="6"/>
  <c r="H51" i="3"/>
  <c r="V20" i="5" s="1"/>
  <c r="F45" i="3"/>
  <c r="G18" i="5" s="1"/>
  <c r="M4" i="5" s="1"/>
  <c r="K49" i="6"/>
  <c r="A34" i="6"/>
  <c r="G5" i="3"/>
  <c r="F14" i="3"/>
  <c r="G10" i="5" s="1"/>
  <c r="I4" i="5" s="1"/>
  <c r="G19" i="6"/>
  <c r="A30" i="6"/>
  <c r="G51" i="3"/>
  <c r="A56" i="6"/>
  <c r="A32" i="6"/>
  <c r="E39" i="3"/>
  <c r="A15" i="4" s="1"/>
  <c r="A46" i="6"/>
  <c r="H25" i="6"/>
  <c r="G9" i="3"/>
  <c r="A23" i="4" l="1"/>
  <c r="G24" i="5"/>
  <c r="P4" i="5" s="1"/>
  <c r="G6" i="5"/>
  <c r="G4" i="5" s="1"/>
  <c r="E4" i="3"/>
  <c r="A2" i="4" s="1"/>
  <c r="A21" i="4"/>
  <c r="G22" i="5"/>
  <c r="O4" i="5" s="1"/>
</calcChain>
</file>

<file path=xl/sharedStrings.xml><?xml version="1.0" encoding="utf-8"?>
<sst xmlns="http://schemas.openxmlformats.org/spreadsheetml/2006/main" count="758" uniqueCount="201">
  <si>
    <t>Languages</t>
  </si>
  <si>
    <t>En</t>
  </si>
  <si>
    <t>Pt</t>
  </si>
  <si>
    <t>Model Type</t>
  </si>
  <si>
    <t>Modelo</t>
  </si>
  <si>
    <t>English</t>
  </si>
  <si>
    <t>Português</t>
  </si>
  <si>
    <t>Not installed</t>
  </si>
  <si>
    <t>Não instalado</t>
  </si>
  <si>
    <t>Firmware Version</t>
  </si>
  <si>
    <t>Hardware Design Suffix</t>
  </si>
  <si>
    <t>Issue</t>
  </si>
  <si>
    <t>Emissão</t>
  </si>
  <si>
    <t>Language Selection</t>
  </si>
  <si>
    <t>Seleção de idioma</t>
  </si>
  <si>
    <t xml:space="preserve">Our policy is one of continuous development. Accordingly the design of our products may change at any time. </t>
  </si>
  <si>
    <t>Nossa política é de desenvolvimento contínuo. Portanto o projeto de nossos produtos pode mudar a qualquer momento.</t>
  </si>
  <si>
    <t>Whilst every effort is made to produce up to date literature, this document should only be regarded as a guide and is intended for information purposes only.</t>
  </si>
  <si>
    <t xml:space="preserve">Embora sejam demandados esforços para manter a documentação atualizada, este documento deve ser visto como um guia e destina-se apenas para fins informativos. </t>
  </si>
  <si>
    <t>Its contents do not constitute an offer for sale or advice on the application of any product referred to in it. We cannot be held responsible for any reliance on any decisions taken on its contents without specific advice.</t>
  </si>
  <si>
    <t>Seu conteúdo não constitui uma proposta para venda ou recomendação sobre a aplicação de qualquer produto nele mencionado. Nós não podemos ser responsabilizados por quaisquer consequências em decisões tomadas sobre o seu conteúdo, sem recomendações específicas.</t>
  </si>
  <si>
    <t>Information required with Order</t>
  </si>
  <si>
    <t>Informações requeridas para o pedido</t>
  </si>
  <si>
    <t>Variants</t>
  </si>
  <si>
    <t>Variantes</t>
  </si>
  <si>
    <t>Order Number</t>
  </si>
  <si>
    <t>A</t>
  </si>
  <si>
    <t>B</t>
  </si>
  <si>
    <t>X</t>
  </si>
  <si>
    <t>C</t>
  </si>
  <si>
    <t>D</t>
  </si>
  <si>
    <t>01</t>
  </si>
  <si>
    <t>Base date</t>
  </si>
  <si>
    <t>Date Drivers start reference</t>
  </si>
  <si>
    <t>Date Drivers finish reference</t>
  </si>
  <si>
    <t>Pos</t>
  </si>
  <si>
    <t>Description</t>
  </si>
  <si>
    <t>Option</t>
  </si>
  <si>
    <t>Option Des</t>
  </si>
  <si>
    <t>1-5</t>
  </si>
  <si>
    <t>Avail.</t>
  </si>
  <si>
    <t>Y</t>
  </si>
  <si>
    <t>E</t>
  </si>
  <si>
    <t>F</t>
  </si>
  <si>
    <t>H</t>
  </si>
  <si>
    <t>Cost</t>
  </si>
  <si>
    <t>Power Supply 1</t>
  </si>
  <si>
    <t>Fonte de Alimentação 1</t>
  </si>
  <si>
    <t>Power Supply 2</t>
  </si>
  <si>
    <t>Fonte de Alimentação 2</t>
  </si>
  <si>
    <t>Interface Module 1</t>
  </si>
  <si>
    <t>Módulo de Interface 1</t>
  </si>
  <si>
    <t>Interface Module 2</t>
  </si>
  <si>
    <t>Interface Module 3</t>
  </si>
  <si>
    <t>Interface Module 4</t>
  </si>
  <si>
    <t>Interface Module 5</t>
  </si>
  <si>
    <t>Módulo de Interface 2</t>
  </si>
  <si>
    <t>Módulo de Interface 3</t>
  </si>
  <si>
    <t>Módulo de Interface 4</t>
  </si>
  <si>
    <t>Módulo de Interface 5</t>
  </si>
  <si>
    <t>PTP Support</t>
  </si>
  <si>
    <t>Suporte a PTP</t>
  </si>
  <si>
    <t>With PTP (IEEE 1588) support</t>
  </si>
  <si>
    <t>Without PTP (IEEE 1588) support</t>
  </si>
  <si>
    <t>Com suporte a PTP (IEEE 1588)</t>
  </si>
  <si>
    <t>Sem suporte a PTP (IEEE 1588)</t>
  </si>
  <si>
    <t>Original created</t>
  </si>
  <si>
    <t>Removed module option R on Interface 3</t>
  </si>
  <si>
    <t>Removido módulo opção R na interface 3</t>
  </si>
  <si>
    <t>Four slots for SFP transceivers</t>
  </si>
  <si>
    <t>Four 1 Gbps LC-type connector multi mode fiber 1000BASE-SX Ethernet for up to 0.5 km</t>
  </si>
  <si>
    <t>Four 1 Gbps LC-type connector single mode fiber 1000BASE-LX Ethernet for up to 10 km</t>
  </si>
  <si>
    <t>Four 1 Gbps LC-type connector single mode fiber 1000BASE-ZX Ethernet for up to 40 km</t>
  </si>
  <si>
    <t>Four 1 Gbps LC-type connector single mode fiber 1000BASE-ZX Ethernet for up to 80 km</t>
  </si>
  <si>
    <t>Four 100 Mbps LC-type connector multi mode fiber 100BASE-FX Ethernet for up to 2 km</t>
  </si>
  <si>
    <t>Quatro portas ethernet para até 10 km 1 Gbps 1000BASE-LX conector fibra monomodo LC</t>
  </si>
  <si>
    <t>Quatro portas ethernet para até 2 km 100 Mbps 100BASE-FX conector fibra multimodo LC</t>
  </si>
  <si>
    <t>S2020</t>
  </si>
  <si>
    <t>Four RJ45 copper 10/100BASE-TX</t>
  </si>
  <si>
    <t>Quatro portas ethernet 10/100/BASE-TX conector elétrico RJ45</t>
  </si>
  <si>
    <t>Mounting Options</t>
  </si>
  <si>
    <t>Opção de Montagem</t>
  </si>
  <si>
    <t>DIN rail mounting</t>
  </si>
  <si>
    <t>Montagem em trilho DIN</t>
  </si>
  <si>
    <t>P</t>
  </si>
  <si>
    <t>AL</t>
  </si>
  <si>
    <t/>
  </si>
  <si>
    <t>14-15</t>
  </si>
  <si>
    <t>16-17</t>
  </si>
  <si>
    <t>Alternate hardware release</t>
  </si>
  <si>
    <t>Versão de hardware alternada</t>
  </si>
  <si>
    <t>Standard hardware release</t>
  </si>
  <si>
    <t>Modular Managed Ethernet Switch</t>
  </si>
  <si>
    <t>Switch Ethernet Gerenciável modular</t>
  </si>
  <si>
    <t>Montagem em rack 19" /  Montagem posterior</t>
  </si>
  <si>
    <t>19” Rack Mount / Rear Mount</t>
  </si>
  <si>
    <t>24-48 Vdc</t>
  </si>
  <si>
    <t>24-48 Vcc</t>
  </si>
  <si>
    <t>Incluído a opção da fonte de 24-48 Vcc</t>
  </si>
  <si>
    <t>24-48 Vdc power supply option included</t>
  </si>
  <si>
    <t>100-250 Vdc / 110-240 Vac</t>
  </si>
  <si>
    <t>N</t>
  </si>
  <si>
    <t>Orders on request</t>
  </si>
  <si>
    <t>Venda sob-consulta</t>
  </si>
  <si>
    <t>Material Cost</t>
  </si>
  <si>
    <t>Custo de Material</t>
  </si>
  <si>
    <t>Chassis</t>
  </si>
  <si>
    <t>Base date:</t>
  </si>
  <si>
    <t>Key date:</t>
  </si>
  <si>
    <t>CORTEC</t>
  </si>
  <si>
    <t>Versão de Firmware</t>
  </si>
  <si>
    <t>Sufixo Designador do Hardware</t>
  </si>
  <si>
    <t>Versão de hardware padrão</t>
  </si>
  <si>
    <t>Criado Originalmente</t>
  </si>
  <si>
    <t>Informações requeridas para o pedido:</t>
  </si>
  <si>
    <t>I</t>
  </si>
  <si>
    <t>J</t>
  </si>
  <si>
    <t>K</t>
  </si>
  <si>
    <t>L</t>
  </si>
  <si>
    <t>M</t>
  </si>
  <si>
    <t>04</t>
  </si>
  <si>
    <t>Four 1 Gbps RJ45 copper 10/100BASE-TX/1000BASE-T Ethernet ports</t>
  </si>
  <si>
    <t>Quatro portas ethernet 10/100BASE-TX/1000BASE-T conector elétrico RJ45</t>
  </si>
  <si>
    <t>Quatro slots SFP para transceptores</t>
  </si>
  <si>
    <t>Incluído novas opções de módulos J, K, L e M. Atualizado a versão de firmware para 04.</t>
  </si>
  <si>
    <t>Module J, K, L, M Options included and update firmware version to 04</t>
  </si>
  <si>
    <t>Two 1 Gbps RJ45 SFP Transceivers 10/100BASE-TX/1000BASE-T Ethernet ports + Two 1 Gbps LC-type connector multi mode fiber 1000BASE-SX Ethernet for up to 0.5 km</t>
  </si>
  <si>
    <t>Two 1 Gbps RJ45 SFP Transceivers 10/100BASE-TX/1000BASE-T Ethernet ports + Two 100 Mbps LC-type connector multi mode fiber 100BASE-FX Ethernet for up to 2 km</t>
  </si>
  <si>
    <t>Duas portas ethernet 10/100BASE-TX/1000BASE-T transceptor SFP RJ45 + Duas portas ethernet para até 2 km 100 Mbps 100BASE-FX conector fibra multimodo LC</t>
  </si>
  <si>
    <t>Two 1 Gbps LC-type connector multi mode fiber 1000BASE-SX Ethernet for up to 0.5 km + Two 100 Mbps LC-type connector multi mode fiber 100BASE-FX Ethernet for up to 2 km</t>
  </si>
  <si>
    <t>BL</t>
  </si>
  <si>
    <t>Amended hardware design suffix to B</t>
  </si>
  <si>
    <t>Corrigido o sufixo designador de hardware para B</t>
  </si>
  <si>
    <t>Firmware version number</t>
  </si>
  <si>
    <t>Número da versão do firmware</t>
  </si>
  <si>
    <t>New firmware and GE branding</t>
  </si>
  <si>
    <t>Novo firmware e marca GE</t>
  </si>
  <si>
    <t>05</t>
  </si>
  <si>
    <t>Latest available firmware</t>
  </si>
  <si>
    <t>Última versão disponível</t>
  </si>
  <si>
    <r>
      <t xml:space="preserve">Four 1 Gbps RJ45 SFP Transceivers 10/100BASE-TX/1000BASE-T Ethernet ports </t>
    </r>
    <r>
      <rPr>
        <b/>
        <sz val="9"/>
        <color theme="1"/>
        <rFont val="Arial"/>
        <family val="2"/>
      </rPr>
      <t>(Not CE marked)</t>
    </r>
  </si>
  <si>
    <r>
      <t xml:space="preserve">Quatro portas ethernet 10/100BASE-TX/1000BASE-T transceptor SFP RJ45 </t>
    </r>
    <r>
      <rPr>
        <b/>
        <sz val="9"/>
        <color theme="1"/>
        <rFont val="Arial"/>
        <family val="2"/>
      </rPr>
      <t>(Sem certificação CE)</t>
    </r>
  </si>
  <si>
    <t>SFP Transceiver 10/100/1000Mbps, RJ45 connector</t>
  </si>
  <si>
    <t>SFP1GFO10K</t>
  </si>
  <si>
    <t>SFP1GFO40K</t>
  </si>
  <si>
    <t>SFP1GFO80K</t>
  </si>
  <si>
    <t>SFP1GFO05K</t>
  </si>
  <si>
    <t>SFP01GFO2K</t>
  </si>
  <si>
    <t>Code</t>
  </si>
  <si>
    <t>Duas portas ethernet para até 0,5 km 1 Gbps 1000BASE-SX conector fibra multimodo LC + Duas portas ethernet para até 2 km 100 Mbps 100BASE-FX conector fibra multimodo LC</t>
  </si>
  <si>
    <t>Duas portas ethernet 10/100BASE-TX/1000BASE-T transceptor SFP RJ45 + Duas portas ethernet para até 0,5 km 1 Gbps 1000BASE-SX conector fibra multimodo LC</t>
  </si>
  <si>
    <t>Quatro portas ethernet para até 0,5 km 1 Gbps 1000BASE-SX conector fibra multimodo LC</t>
  </si>
  <si>
    <t>Quatro portas ethernet para até 40 km 1 Gbps 1000BASE-ZX conector fibra monomodo LC</t>
  </si>
  <si>
    <t>Quatro portas ethernet para até 80 km 1 Gbps 1000BASE-ZX conector fibra monomodo LC</t>
  </si>
  <si>
    <t>Código</t>
  </si>
  <si>
    <t>Descrição</t>
  </si>
  <si>
    <t>Transceptor SFP de 10/100/1000Mbps, conector elétrico RJ45</t>
  </si>
  <si>
    <t>SFP Transceiver 1000Mbps LC single mode, 1310nm wavelength, 10km</t>
  </si>
  <si>
    <t>SFP Transceiver 1000Mbps LC single mode, 1310nm wavelength, 40km</t>
  </si>
  <si>
    <t>SFP Transceiver 1000Mbps LC single mode, 1550nm wavelength, 80km</t>
  </si>
  <si>
    <t>SFP Transceiver 1000Mbps LC multi mode, 850nm wavelength, 500m</t>
  </si>
  <si>
    <t>SFP Transceiver 100Mbps LC multi mode, 1310nm wavelength, 2km</t>
  </si>
  <si>
    <t>Transceptor SFP de 1000Mbps, conector fibra monomodo LC, 1310nm, 10km</t>
  </si>
  <si>
    <t>Transceptor SFP de 1000Mbps, conector fibra monomodo LC, 1310nm, 40km</t>
  </si>
  <si>
    <t>Transceptor SFP de 1000Mbps, conector fibra monomodo LC, 1550nm, 80km</t>
  </si>
  <si>
    <t>Transceptor SFP de 1000Mbps, conector fibra multimodo LC, 850nm, 500m</t>
  </si>
  <si>
    <t>Transceptor SFP de 100Mbps, conector fibra multimodo LC, 1310nm, 2km</t>
  </si>
  <si>
    <t>Acessórios</t>
  </si>
  <si>
    <t>Accessories</t>
  </si>
  <si>
    <t>Removed firmware version 04, included the Accessories tab</t>
  </si>
  <si>
    <t>Removido a versão de firmware 04, incluido a aba de Acessórios</t>
  </si>
  <si>
    <t>06</t>
  </si>
  <si>
    <t>SFP Transceiver 1000Mbps LC single mode, 1550nm wavelength, 120km </t>
  </si>
  <si>
    <t>Transceptor SFP de 1000Mbps, conector fibra monomodo LC, 1550nm, 120km</t>
  </si>
  <si>
    <t>SFP1GFO120K</t>
  </si>
  <si>
    <t>Added firmware version 06 and included the 1 Gbps SFP for 120km as accessory</t>
  </si>
  <si>
    <t>Adicionada a versão de firmware 06 e incluído o SFP 1 Gbps para 120 km como acessório</t>
  </si>
  <si>
    <t>Two 1 Gbps RJ45 SFP Transceivers 10/100BASE-TX/1000BASE-T Ethernet ports + Two 1 Gbps LC-type connector multi mode fiber 1000BASE-SX Ethernet for up to 0.5 km  (Withdraw)</t>
  </si>
  <si>
    <t>Two 1 Gbps RJ45 SFP Transceivers 10/100BASE-TX/1000BASE-T Ethernet ports + Two 100 Mbps LC-type connector multi mode fiber 100BASE-FX Ethernet for up to 2 km (Withdraw)</t>
  </si>
  <si>
    <r>
      <t xml:space="preserve">Four 1 Gbps RJ45 SFP Transceivers 10/100BASE-TX/1000BASE-T Ethernet ports </t>
    </r>
    <r>
      <rPr>
        <b/>
        <sz val="9"/>
        <color theme="1"/>
        <rFont val="Arial"/>
        <family val="2"/>
      </rPr>
      <t>(Not CE marked) (Withdraw)</t>
    </r>
  </si>
  <si>
    <r>
      <t xml:space="preserve">Quatro portas ethernet 10/100BASE-TX/1000BASE-T transceptor SFP RJ45 </t>
    </r>
    <r>
      <rPr>
        <b/>
        <sz val="9"/>
        <color theme="1"/>
        <rFont val="Arial"/>
        <family val="2"/>
      </rPr>
      <t>(Sem certificação CE) (Obsoleto)</t>
    </r>
  </si>
  <si>
    <t>Duas portas ethernet 10/100BASE-TX/1000BASE-T transceptor SFP RJ45 + Duas portas ethernet para até 0,5 km 1 Gbps 1000BASE-SX conector fibra multimodo LC (Obsoleto)</t>
  </si>
  <si>
    <t>Duas portas ethernet 10/100BASE-TX/1000BASE-T transceptor SFP RJ45 + Duas portas ethernet para até 2 km 100 Mbps 100BASE-FX conector fibra multimodo LC (Obsoleto)</t>
  </si>
  <si>
    <t>Alternate hardware release (Withdraw)</t>
  </si>
  <si>
    <t>Versão de hardware alternada (Obsoleto)</t>
  </si>
  <si>
    <t>Not installed (Withdraw)</t>
  </si>
  <si>
    <t>Não instalado (Obsoleto)</t>
  </si>
  <si>
    <t xml:space="preserve">SFP1GCU01K </t>
  </si>
  <si>
    <t>F ver2</t>
  </si>
  <si>
    <t xml:space="preserve">SFP1GCU02K </t>
  </si>
  <si>
    <t>SFP Transceiver 10/100/1000Mbps, RJ45 connector, not CE Market (Withdraw)</t>
  </si>
  <si>
    <t>Transceptor SFP de 10/100/1000Mbps, conector elétrico RJ45, sem certificação CE (Obsoleto)</t>
  </si>
  <si>
    <t>Firmware 05 and 06 have been withdrawn as per GE Publication No. GER-4820 and GER-4844.</t>
  </si>
  <si>
    <t>Firmware 05 e 06 estão obsoletos de acordo com a Publicação GE nº GER-4820 e GER-4844.</t>
  </si>
  <si>
    <t>This Cortec file has be superseded by the S20 Cortec File; please reference the S20 Cortec file for your current ordering needs.</t>
  </si>
  <si>
    <t>Este arquivo de Cortec foi substituído pelo arquivo "S20 Cortec"; por favor, consulte o arquivo "S20 Cortec" para suas necessidades atuais de pedidos.</t>
  </si>
  <si>
    <t>THIS CORTEC FILE HAS BEEN REPLACED BY THE S20 CORTEC FILE</t>
  </si>
  <si>
    <t>ESTE ARQUIVO DE CORTEC FOI SUBSTITUÍDO PELO ARQUIVO "CORTEC S20"</t>
  </si>
  <si>
    <t>Multiple withdraws: Interface Module options J, K &amp; L (refer to GER-4844) and alternate hardware (BL) / Transceiver SFP1GCU01K replaced by SFP1GCU02K</t>
  </si>
  <si>
    <t>Multiplas obsolescências: Opções de interface J, K &amp; L (ver GER-4844) e versão de hardware alternada (BL) / Transceptor SFP1GCU01K substituido por SFP1GCU02K</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</si>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</sst>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9"/>
      <color indexed="8"/>
      <name val="Arial"/>
      <family val="2"/>
    </font>
    <font>
      <b/>
      <sz val="9"/>
      <color indexed="10"/>
      <name val="Arial"/>
      <family val="2"/>
    </font>
    <font>
      <b/>
      <sz val="9"/>
      <color indexed="8"/>
      <name val="Arial"/>
      <family val="2"/>
    </font>
    <font>
      <sz val="9"/>
      <name val="Arial"/>
      <family val="2"/>
    </font>
    <font>
      <b/>
      <sz val="14"/>
      <color indexed="8"/>
      <name val="Arial"/>
      <family val="2"/>
    </font>
    <font>
      <sz val="11"/>
      <color indexed="8"/>
      <name val="Arial"/>
      <family val="2"/>
    </font>
    <font>
      <sz val="10"/>
      <color indexed="8"/>
      <name val="Arial"/>
      <family val="2"/>
    </font>
    <font>
      <sz val="12"/>
      <color indexed="8"/>
      <name val="Arial"/>
      <family val="2"/>
    </font>
    <font>
      <sz val="14"/>
      <color indexed="8"/>
      <name val="Arial"/>
      <family val="2"/>
    </font>
    <font>
      <b/>
      <sz val="14"/>
      <color indexed="10"/>
      <name val="Arial"/>
      <family val="2"/>
    </font>
    <font>
      <b/>
      <sz val="12"/>
      <color indexed="12"/>
      <name val="Arial"/>
      <family val="2"/>
    </font>
    <font>
      <sz val="11"/>
      <color indexed="30"/>
      <name val="Arial"/>
      <family val="2"/>
    </font>
    <font>
      <sz val="10"/>
      <name val="Arial"/>
      <family val="2"/>
    </font>
    <font>
      <sz val="10"/>
      <color indexed="9"/>
      <name val="Arial"/>
      <family val="2"/>
    </font>
    <font>
      <b/>
      <sz val="10"/>
      <name val="Arial"/>
      <family val="2"/>
    </font>
    <font>
      <sz val="11"/>
      <name val="Arial"/>
      <family val="2"/>
    </font>
    <font>
      <sz val="9"/>
      <color theme="1"/>
      <name val="Arial"/>
      <family val="2"/>
    </font>
    <font>
      <sz val="11"/>
      <color theme="1"/>
      <name val="Arial"/>
      <family val="2"/>
    </font>
    <font>
      <b/>
      <sz val="9"/>
      <color theme="1"/>
      <name val="Arial"/>
      <family val="2"/>
    </font>
    <font>
      <b/>
      <sz val="16"/>
      <color rgb="FFFF0000"/>
      <name val="Arial"/>
      <family val="2"/>
    </font>
    <font>
      <b/>
      <sz val="12"/>
      <color rgb="FFFF0000"/>
      <name val="Arial"/>
      <family val="2"/>
    </font>
    <font>
      <b/>
      <sz val="11"/>
      <color theme="1"/>
      <name val="Arial"/>
      <family val="2"/>
    </font>
    <font>
      <sz val="11"/>
      <color rgb="FFFF0000"/>
      <name val="Arial"/>
      <family val="2"/>
    </font>
    <font>
      <b/>
      <sz val="10"/>
      <color theme="1"/>
      <name val="Arial"/>
      <family val="2"/>
    </font>
    <font>
      <sz val="10"/>
      <color theme="1"/>
      <name val="Arial"/>
      <family val="2"/>
    </font>
    <font>
      <b/>
      <sz val="9"/>
      <color theme="0"/>
      <name val="Arial"/>
      <family val="2"/>
    </font>
    <font>
      <b/>
      <sz val="9"/>
      <color rgb="FFFF0000"/>
      <name val="Arial"/>
      <family val="2"/>
    </font>
    <font>
      <sz val="10"/>
      <name val="GE Inspira"/>
      <family val="2"/>
    </font>
    <font>
      <sz val="11"/>
      <color theme="1"/>
      <name val="GE Inspira"/>
      <family val="2"/>
    </font>
    <font>
      <sz val="11"/>
      <color theme="0"/>
      <name val="Arial"/>
      <family val="2"/>
    </font>
    <font>
      <sz val="11"/>
      <color indexed="9"/>
      <name val="Arial"/>
      <family val="2"/>
    </font>
    <font>
      <b/>
      <sz val="11"/>
      <color indexed="9"/>
      <name val="Arial"/>
      <family val="2"/>
    </font>
  </fonts>
  <fills count="16">
    <fill>
      <patternFill patternType="none"/>
    </fill>
    <fill>
      <patternFill patternType="gray125"/>
    </fill>
    <fill>
      <patternFill patternType="solid">
        <fgColor indexed="55"/>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969696"/>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theme="4"/>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ck">
        <color indexed="64"/>
      </left>
      <right/>
      <top/>
      <bottom/>
      <diagonal/>
    </border>
    <border>
      <left style="medium">
        <color indexed="64"/>
      </left>
      <right style="thick">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s>
  <cellStyleXfs count="3">
    <xf numFmtId="0" fontId="0" fillId="0" borderId="0"/>
    <xf numFmtId="0" fontId="13" fillId="0" borderId="0"/>
    <xf numFmtId="0" fontId="16" fillId="0" borderId="0"/>
  </cellStyleXfs>
  <cellXfs count="277">
    <xf numFmtId="0" fontId="0" fillId="0" borderId="0" xfId="0"/>
    <xf numFmtId="0" fontId="17" fillId="0" borderId="0" xfId="0" applyFont="1" applyAlignment="1">
      <alignment horizontal="center" vertical="center"/>
    </xf>
    <xf numFmtId="0" fontId="17" fillId="0" borderId="0" xfId="0" applyFont="1"/>
    <xf numFmtId="0" fontId="17" fillId="0" borderId="0" xfId="0" applyFont="1" applyAlignment="1">
      <alignment horizontal="center"/>
    </xf>
    <xf numFmtId="0" fontId="17" fillId="0" borderId="0" xfId="0" applyFont="1" applyAlignment="1">
      <alignment wrapText="1"/>
    </xf>
    <xf numFmtId="0" fontId="17" fillId="7" borderId="1" xfId="0" applyFont="1" applyFill="1" applyBorder="1" applyAlignment="1">
      <alignment horizontal="center" vertical="center"/>
    </xf>
    <xf numFmtId="0" fontId="17" fillId="7" borderId="2" xfId="0" applyFont="1" applyFill="1" applyBorder="1"/>
    <xf numFmtId="0" fontId="17" fillId="7" borderId="1" xfId="0" applyFont="1" applyFill="1" applyBorder="1" applyAlignment="1">
      <alignment horizontal="center"/>
    </xf>
    <xf numFmtId="0" fontId="17" fillId="0" borderId="0" xfId="0" applyFont="1" applyBorder="1"/>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vertical="center"/>
    </xf>
    <xf numFmtId="0" fontId="17" fillId="0" borderId="5" xfId="0" applyFont="1" applyBorder="1"/>
    <xf numFmtId="0" fontId="17" fillId="0" borderId="4" xfId="0" applyFont="1" applyBorder="1" applyAlignment="1">
      <alignment horizontal="center"/>
    </xf>
    <xf numFmtId="0" fontId="17" fillId="0" borderId="0" xfId="0" applyFont="1" applyAlignment="1">
      <alignment vertical="center" wrapText="1"/>
    </xf>
    <xf numFmtId="0" fontId="1" fillId="0" borderId="0" xfId="0" applyFont="1"/>
    <xf numFmtId="0" fontId="3" fillId="0" borderId="6" xfId="0" applyFont="1" applyBorder="1"/>
    <xf numFmtId="0" fontId="3" fillId="0" borderId="0" xfId="0" applyFont="1" applyBorder="1"/>
    <xf numFmtId="0" fontId="1" fillId="0" borderId="5" xfId="0" applyFont="1" applyBorder="1"/>
    <xf numFmtId="0" fontId="1" fillId="0" borderId="0" xfId="0" applyFont="1" applyAlignment="1">
      <alignment horizontal="center" vertical="center"/>
    </xf>
    <xf numFmtId="0" fontId="1" fillId="0" borderId="1" xfId="0" applyFont="1" applyBorder="1" applyAlignment="1">
      <alignment horizontal="center"/>
    </xf>
    <xf numFmtId="14" fontId="2" fillId="0" borderId="6" xfId="0" applyNumberFormat="1" applyFont="1" applyBorder="1" applyAlignment="1">
      <alignment horizontal="left"/>
    </xf>
    <xf numFmtId="0" fontId="17" fillId="0" borderId="0" xfId="0" applyFont="1" applyAlignment="1">
      <alignment horizontal="left"/>
    </xf>
    <xf numFmtId="0" fontId="1" fillId="0" borderId="0" xfId="0" applyFont="1" applyAlignment="1">
      <alignment horizontal="center"/>
    </xf>
    <xf numFmtId="0" fontId="1" fillId="0" borderId="0" xfId="0" applyFont="1" applyBorder="1"/>
    <xf numFmtId="0" fontId="17" fillId="0" borderId="1" xfId="0" applyFont="1" applyBorder="1" applyAlignment="1">
      <alignment horizontal="center"/>
    </xf>
    <xf numFmtId="0" fontId="17" fillId="0" borderId="7" xfId="0" applyFont="1" applyBorder="1" applyAlignment="1">
      <alignment horizontal="center"/>
    </xf>
    <xf numFmtId="0" fontId="3" fillId="0" borderId="5" xfId="0" applyFont="1" applyBorder="1"/>
    <xf numFmtId="0" fontId="2" fillId="0" borderId="0" xfId="0" applyFont="1" applyAlignment="1">
      <alignment horizontal="right"/>
    </xf>
    <xf numFmtId="0" fontId="18" fillId="0" borderId="0" xfId="0" applyFont="1"/>
    <xf numFmtId="0" fontId="6" fillId="0" borderId="8" xfId="0" applyFont="1" applyBorder="1"/>
    <xf numFmtId="0" fontId="6" fillId="0" borderId="8" xfId="0" applyFont="1" applyBorder="1" applyAlignment="1">
      <alignment horizontal="center" vertical="center"/>
    </xf>
    <xf numFmtId="0" fontId="6" fillId="0" borderId="9" xfId="0" applyFont="1" applyBorder="1"/>
    <xf numFmtId="0" fontId="6" fillId="0" borderId="0" xfId="0" applyFont="1"/>
    <xf numFmtId="0" fontId="6" fillId="0" borderId="10" xfId="0" applyFont="1" applyBorder="1"/>
    <xf numFmtId="0" fontId="6" fillId="0" borderId="2" xfId="0" applyFont="1" applyBorder="1"/>
    <xf numFmtId="0" fontId="1" fillId="0" borderId="1" xfId="0" quotePrefix="1" applyFont="1" applyBorder="1" applyAlignment="1">
      <alignment horizontal="center"/>
    </xf>
    <xf numFmtId="0" fontId="7" fillId="0" borderId="1" xfId="0" applyFont="1" applyBorder="1" applyAlignment="1">
      <alignment horizontal="center"/>
    </xf>
    <xf numFmtId="0" fontId="6" fillId="0" borderId="11" xfId="0" applyFont="1" applyBorder="1"/>
    <xf numFmtId="0" fontId="8" fillId="0" borderId="10" xfId="0" applyFont="1" applyBorder="1"/>
    <xf numFmtId="0" fontId="9" fillId="0" borderId="2" xfId="0" applyFont="1" applyBorder="1"/>
    <xf numFmtId="0" fontId="9" fillId="0" borderId="12" xfId="0" applyFont="1" applyBorder="1"/>
    <xf numFmtId="0" fontId="10" fillId="0" borderId="1" xfId="0" applyFont="1" applyBorder="1" applyAlignment="1">
      <alignment horizontal="center" vertical="center"/>
    </xf>
    <xf numFmtId="0" fontId="8" fillId="0" borderId="11" xfId="0" applyFont="1" applyBorder="1"/>
    <xf numFmtId="0" fontId="8" fillId="0" borderId="0" xfId="0" applyFont="1"/>
    <xf numFmtId="0" fontId="11" fillId="0" borderId="13" xfId="0" applyFont="1" applyBorder="1" applyAlignment="1">
      <alignment vertical="center"/>
    </xf>
    <xf numFmtId="0" fontId="9" fillId="0" borderId="0" xfId="0" applyFont="1" applyBorder="1"/>
    <xf numFmtId="0" fontId="5" fillId="0" borderId="0" xfId="0" applyFont="1" applyBorder="1"/>
    <xf numFmtId="0" fontId="6" fillId="8" borderId="14" xfId="0" applyFont="1" applyFill="1" applyBorder="1" applyAlignment="1">
      <alignment horizontal="center" vertical="center"/>
    </xf>
    <xf numFmtId="0" fontId="8" fillId="0" borderId="13" xfId="0" applyFont="1" applyBorder="1"/>
    <xf numFmtId="0" fontId="11" fillId="0" borderId="15" xfId="0" applyFont="1" applyBorder="1"/>
    <xf numFmtId="0" fontId="6" fillId="0" borderId="0" xfId="0" applyFont="1" applyBorder="1"/>
    <xf numFmtId="0" fontId="6" fillId="8" borderId="0" xfId="0" applyFont="1" applyFill="1" applyBorder="1" applyAlignment="1">
      <alignment horizontal="center" vertical="center"/>
    </xf>
    <xf numFmtId="0" fontId="6" fillId="0" borderId="13" xfId="0" applyFont="1" applyBorder="1"/>
    <xf numFmtId="0" fontId="12" fillId="0" borderId="0" xfId="0" applyFont="1" applyBorder="1"/>
    <xf numFmtId="0" fontId="6" fillId="8" borderId="4" xfId="0" applyFont="1" applyFill="1" applyBorder="1" applyAlignment="1">
      <alignment horizontal="center" vertical="center"/>
    </xf>
    <xf numFmtId="0" fontId="11" fillId="0" borderId="16" xfId="0" applyFont="1" applyBorder="1" applyAlignment="1">
      <alignment vertical="center"/>
    </xf>
    <xf numFmtId="0" fontId="11" fillId="0" borderId="15" xfId="0" applyFont="1" applyBorder="1" applyAlignment="1">
      <alignment vertical="center"/>
    </xf>
    <xf numFmtId="0" fontId="6" fillId="0" borderId="6" xfId="0" applyFont="1" applyBorder="1" applyAlignment="1">
      <alignment horizontal="left" vertical="center"/>
    </xf>
    <xf numFmtId="0" fontId="6" fillId="0" borderId="6" xfId="0" applyFont="1" applyBorder="1"/>
    <xf numFmtId="0" fontId="6" fillId="0" borderId="17" xfId="0" applyFont="1" applyBorder="1"/>
    <xf numFmtId="0" fontId="7" fillId="0" borderId="6" xfId="0" applyFont="1" applyBorder="1"/>
    <xf numFmtId="0" fontId="7" fillId="0" borderId="0" xfId="0" applyFont="1" applyBorder="1"/>
    <xf numFmtId="0" fontId="6" fillId="0" borderId="0" xfId="0" applyFont="1" applyBorder="1" applyAlignment="1">
      <alignment horizontal="left" vertical="center"/>
    </xf>
    <xf numFmtId="0" fontId="7" fillId="0" borderId="14" xfId="0" applyFont="1" applyBorder="1"/>
    <xf numFmtId="0" fontId="7" fillId="0" borderId="6" xfId="0" applyFont="1" applyBorder="1" applyAlignment="1">
      <alignment vertical="center"/>
    </xf>
    <xf numFmtId="0" fontId="7" fillId="0" borderId="0" xfId="0" applyFont="1" applyBorder="1" applyAlignment="1">
      <alignment vertical="center"/>
    </xf>
    <xf numFmtId="0" fontId="11" fillId="0" borderId="18" xfId="0" applyFont="1" applyBorder="1" applyAlignment="1">
      <alignment vertical="center"/>
    </xf>
    <xf numFmtId="0" fontId="6" fillId="0" borderId="19" xfId="0" applyFont="1" applyBorder="1"/>
    <xf numFmtId="0" fontId="6" fillId="0" borderId="20" xfId="0" applyFont="1" applyBorder="1"/>
    <xf numFmtId="0" fontId="6" fillId="0" borderId="20" xfId="0" applyFont="1" applyBorder="1" applyAlignment="1">
      <alignment horizontal="center" vertical="center"/>
    </xf>
    <xf numFmtId="0" fontId="6" fillId="0" borderId="21" xfId="0" applyFont="1" applyBorder="1"/>
    <xf numFmtId="0" fontId="6" fillId="0" borderId="0" xfId="0" applyFont="1" applyAlignment="1">
      <alignment horizontal="center" vertical="center"/>
    </xf>
    <xf numFmtId="0" fontId="19" fillId="0" borderId="1" xfId="0" applyFont="1" applyBorder="1"/>
    <xf numFmtId="0" fontId="19" fillId="0" borderId="1" xfId="0" applyFont="1" applyBorder="1" applyAlignment="1">
      <alignment horizontal="center"/>
    </xf>
    <xf numFmtId="0" fontId="19" fillId="0" borderId="22" xfId="0" applyFont="1" applyBorder="1"/>
    <xf numFmtId="0" fontId="17" fillId="0" borderId="1" xfId="0" applyFont="1" applyBorder="1"/>
    <xf numFmtId="0" fontId="19" fillId="7" borderId="1" xfId="0" applyFont="1" applyFill="1" applyBorder="1" applyAlignment="1">
      <alignment horizontal="center"/>
    </xf>
    <xf numFmtId="0" fontId="19" fillId="7" borderId="1" xfId="0" applyFont="1" applyFill="1" applyBorder="1"/>
    <xf numFmtId="0" fontId="17" fillId="0" borderId="3" xfId="0" applyFont="1" applyBorder="1"/>
    <xf numFmtId="0" fontId="17" fillId="0" borderId="4" xfId="0" applyFont="1" applyBorder="1"/>
    <xf numFmtId="0" fontId="2" fillId="0" borderId="3" xfId="0" applyFont="1" applyBorder="1" applyAlignment="1">
      <alignment horizontal="right"/>
    </xf>
    <xf numFmtId="0" fontId="17" fillId="0" borderId="23" xfId="0" applyFont="1" applyBorder="1" applyAlignment="1">
      <alignment horizontal="center"/>
    </xf>
    <xf numFmtId="0" fontId="17" fillId="0" borderId="23" xfId="0" applyFont="1" applyBorder="1"/>
    <xf numFmtId="0" fontId="17" fillId="0" borderId="1" xfId="0" applyFont="1" applyBorder="1" applyAlignment="1">
      <alignment horizontal="left"/>
    </xf>
    <xf numFmtId="0" fontId="13" fillId="0" borderId="0" xfId="1" applyBorder="1"/>
    <xf numFmtId="0" fontId="13" fillId="0" borderId="0" xfId="1" applyBorder="1" applyAlignment="1">
      <alignment horizontal="center"/>
    </xf>
    <xf numFmtId="0" fontId="13" fillId="0" borderId="0" xfId="1"/>
    <xf numFmtId="0" fontId="14" fillId="3" borderId="24" xfId="1" applyFont="1" applyFill="1" applyBorder="1" applyAlignment="1">
      <alignment vertical="center"/>
    </xf>
    <xf numFmtId="0" fontId="13" fillId="0" borderId="24" xfId="1" applyFont="1" applyBorder="1"/>
    <xf numFmtId="0" fontId="13" fillId="0" borderId="6" xfId="1" applyFont="1" applyBorder="1"/>
    <xf numFmtId="0" fontId="13" fillId="0" borderId="6" xfId="1" applyFont="1" applyBorder="1" applyAlignment="1">
      <alignment horizontal="right"/>
    </xf>
    <xf numFmtId="0" fontId="13" fillId="0" borderId="1" xfId="1" quotePrefix="1" applyFont="1" applyBorder="1" applyAlignment="1">
      <alignment horizontal="center"/>
    </xf>
    <xf numFmtId="0" fontId="13" fillId="0" borderId="1" xfId="1" applyBorder="1" applyAlignment="1">
      <alignment horizontal="center"/>
    </xf>
    <xf numFmtId="0" fontId="13" fillId="0" borderId="1" xfId="1" quotePrefix="1" applyBorder="1" applyAlignment="1">
      <alignment horizontal="center"/>
    </xf>
    <xf numFmtId="0" fontId="15" fillId="0" borderId="25" xfId="1" applyFont="1" applyBorder="1"/>
    <xf numFmtId="0" fontId="13" fillId="0" borderId="6" xfId="1" applyFill="1" applyBorder="1" applyAlignment="1">
      <alignment horizontal="center"/>
    </xf>
    <xf numFmtId="0" fontId="13" fillId="0" borderId="0" xfId="1" applyFill="1" applyBorder="1" applyAlignment="1">
      <alignment horizontal="center"/>
    </xf>
    <xf numFmtId="0" fontId="13" fillId="4" borderId="0" xfId="1" applyFill="1" applyBorder="1" applyAlignment="1">
      <alignment horizontal="center"/>
    </xf>
    <xf numFmtId="0" fontId="13" fillId="2" borderId="0" xfId="1" applyFill="1" applyBorder="1" applyAlignment="1">
      <alignment horizontal="center"/>
    </xf>
    <xf numFmtId="0" fontId="13" fillId="5" borderId="0" xfId="1" applyFill="1" applyBorder="1" applyAlignment="1">
      <alignment horizontal="center"/>
    </xf>
    <xf numFmtId="0" fontId="13" fillId="9" borderId="0" xfId="1" applyFill="1" applyBorder="1" applyAlignment="1">
      <alignment horizontal="center"/>
    </xf>
    <xf numFmtId="0" fontId="13" fillId="10" borderId="0" xfId="1" applyFill="1" applyBorder="1" applyAlignment="1">
      <alignment horizontal="center"/>
    </xf>
    <xf numFmtId="0" fontId="13" fillId="0" borderId="25" xfId="1" applyFont="1" applyBorder="1"/>
    <xf numFmtId="0" fontId="13" fillId="0" borderId="0" xfId="1" applyFont="1" applyBorder="1"/>
    <xf numFmtId="0" fontId="13" fillId="0" borderId="1" xfId="1" applyFont="1" applyBorder="1" applyAlignment="1">
      <alignment horizontal="center"/>
    </xf>
    <xf numFmtId="0" fontId="13" fillId="0" borderId="0" xfId="1" applyFont="1"/>
    <xf numFmtId="0" fontId="13" fillId="0" borderId="0" xfId="1" applyFont="1" applyBorder="1" applyAlignment="1">
      <alignment horizontal="center"/>
    </xf>
    <xf numFmtId="0" fontId="15" fillId="0" borderId="24" xfId="1" applyFont="1" applyBorder="1"/>
    <xf numFmtId="0" fontId="13" fillId="0" borderId="6" xfId="1" applyFont="1" applyBorder="1" applyAlignment="1">
      <alignment horizontal="center"/>
    </xf>
    <xf numFmtId="0" fontId="13" fillId="0" borderId="1" xfId="1" applyFont="1" applyFill="1" applyBorder="1" applyAlignment="1">
      <alignment horizontal="center"/>
    </xf>
    <xf numFmtId="0" fontId="13" fillId="0" borderId="7" xfId="1" applyFont="1" applyBorder="1"/>
    <xf numFmtId="0" fontId="13" fillId="0" borderId="0" xfId="1" applyAlignment="1">
      <alignment horizontal="center"/>
    </xf>
    <xf numFmtId="0" fontId="16" fillId="0" borderId="0" xfId="2"/>
    <xf numFmtId="0" fontId="16" fillId="0" borderId="13" xfId="2" applyBorder="1"/>
    <xf numFmtId="0" fontId="16" fillId="0" borderId="0" xfId="2" applyBorder="1"/>
    <xf numFmtId="0" fontId="16" fillId="0" borderId="11" xfId="2" applyBorder="1"/>
    <xf numFmtId="0" fontId="16" fillId="0" borderId="19" xfId="2" applyBorder="1"/>
    <xf numFmtId="0" fontId="16" fillId="0" borderId="20" xfId="2" applyBorder="1"/>
    <xf numFmtId="0" fontId="16" fillId="0" borderId="21" xfId="2" applyBorder="1"/>
    <xf numFmtId="4" fontId="1" fillId="0" borderId="0" xfId="0" applyNumberFormat="1" applyFont="1" applyAlignment="1">
      <alignment horizontal="center"/>
    </xf>
    <xf numFmtId="0" fontId="5" fillId="0" borderId="26" xfId="0" applyFont="1" applyBorder="1" applyAlignment="1">
      <alignment vertical="center"/>
    </xf>
    <xf numFmtId="4" fontId="17" fillId="0" borderId="0" xfId="0" applyNumberFormat="1" applyFont="1" applyAlignment="1">
      <alignment horizontal="center"/>
    </xf>
    <xf numFmtId="4" fontId="17" fillId="0" borderId="0" xfId="0" applyNumberFormat="1" applyFont="1" applyBorder="1" applyAlignment="1">
      <alignment horizontal="center"/>
    </xf>
    <xf numFmtId="4" fontId="6" fillId="0" borderId="0" xfId="0" applyNumberFormat="1" applyFont="1" applyAlignment="1">
      <alignment vertical="center"/>
    </xf>
    <xf numFmtId="0" fontId="20" fillId="0" borderId="0" xfId="0" applyFont="1" applyAlignment="1">
      <alignment vertical="center"/>
    </xf>
    <xf numFmtId="4" fontId="1" fillId="0" borderId="0" xfId="0" applyNumberFormat="1" applyFont="1" applyBorder="1" applyAlignment="1">
      <alignment vertical="center"/>
    </xf>
    <xf numFmtId="0" fontId="6" fillId="11" borderId="14" xfId="0" applyFont="1" applyFill="1" applyBorder="1" applyAlignment="1">
      <alignment horizontal="center" vertical="center"/>
    </xf>
    <xf numFmtId="0" fontId="6" fillId="10" borderId="14"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5" xfId="0" applyFont="1" applyFill="1" applyBorder="1" applyAlignment="1">
      <alignment horizontal="center" vertical="center"/>
    </xf>
    <xf numFmtId="0" fontId="17" fillId="0" borderId="25" xfId="0" applyFont="1" applyBorder="1" applyAlignment="1">
      <alignment horizontal="left"/>
    </xf>
    <xf numFmtId="0" fontId="17" fillId="0" borderId="0" xfId="0" applyFont="1" applyBorder="1" applyAlignment="1">
      <alignment horizontal="left"/>
    </xf>
    <xf numFmtId="0" fontId="6" fillId="8" borderId="27"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5" xfId="0" applyFont="1" applyFill="1" applyBorder="1" applyAlignment="1">
      <alignment horizontal="center" vertical="center"/>
    </xf>
    <xf numFmtId="0" fontId="6" fillId="10" borderId="5" xfId="0" applyFont="1" applyFill="1" applyBorder="1" applyAlignment="1">
      <alignment horizontal="center" vertical="center"/>
    </xf>
    <xf numFmtId="0" fontId="10" fillId="0" borderId="1" xfId="0" applyFont="1" applyFill="1" applyBorder="1" applyAlignment="1">
      <alignment horizontal="center" vertical="center"/>
    </xf>
    <xf numFmtId="0" fontId="6" fillId="10" borderId="17"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7" xfId="0" applyFont="1" applyFill="1" applyBorder="1" applyAlignment="1">
      <alignment horizontal="center" vertical="center"/>
    </xf>
    <xf numFmtId="0" fontId="13" fillId="0" borderId="5" xfId="1" applyBorder="1"/>
    <xf numFmtId="0" fontId="13" fillId="0" borderId="5" xfId="1" applyBorder="1" applyAlignment="1">
      <alignment horizontal="center"/>
    </xf>
    <xf numFmtId="0" fontId="13" fillId="0" borderId="2" xfId="1" applyBorder="1" applyAlignment="1">
      <alignment horizontal="center"/>
    </xf>
    <xf numFmtId="0" fontId="19" fillId="7" borderId="23" xfId="0" applyFont="1" applyFill="1" applyBorder="1" applyAlignment="1">
      <alignment horizontal="center"/>
    </xf>
    <xf numFmtId="0" fontId="19" fillId="7" borderId="22" xfId="0" applyFont="1" applyFill="1" applyBorder="1"/>
    <xf numFmtId="0" fontId="19" fillId="7" borderId="2" xfId="0" applyFont="1" applyFill="1" applyBorder="1"/>
    <xf numFmtId="0" fontId="17" fillId="0" borderId="6" xfId="0" applyFont="1" applyBorder="1"/>
    <xf numFmtId="0" fontId="10" fillId="0" borderId="23" xfId="0" applyFont="1" applyBorder="1" applyAlignment="1">
      <alignment horizontal="center" vertical="center"/>
    </xf>
    <xf numFmtId="0" fontId="6" fillId="8" borderId="5" xfId="0" quotePrefix="1" applyFont="1" applyFill="1" applyBorder="1" applyAlignment="1">
      <alignment horizontal="center" vertical="center"/>
    </xf>
    <xf numFmtId="0" fontId="6" fillId="8" borderId="0" xfId="0" quotePrefix="1" applyFont="1" applyFill="1" applyBorder="1" applyAlignment="1">
      <alignment horizontal="center" vertical="center"/>
    </xf>
    <xf numFmtId="0" fontId="6" fillId="8" borderId="17" xfId="0" quotePrefix="1" applyFont="1" applyFill="1" applyBorder="1" applyAlignment="1">
      <alignment horizontal="center" vertical="center"/>
    </xf>
    <xf numFmtId="0" fontId="6" fillId="8" borderId="14" xfId="0" quotePrefix="1" applyFont="1" applyFill="1" applyBorder="1" applyAlignment="1">
      <alignment horizontal="center" vertical="center"/>
    </xf>
    <xf numFmtId="0" fontId="6" fillId="8" borderId="27" xfId="0" quotePrefix="1" applyFont="1" applyFill="1" applyBorder="1" applyAlignment="1">
      <alignment horizontal="center" vertical="center"/>
    </xf>
    <xf numFmtId="0" fontId="13" fillId="0" borderId="0" xfId="1" applyFont="1" applyFill="1" applyBorder="1" applyAlignment="1">
      <alignment horizontal="center"/>
    </xf>
    <xf numFmtId="0" fontId="13" fillId="0" borderId="6" xfId="1" applyBorder="1"/>
    <xf numFmtId="0" fontId="13" fillId="0" borderId="6" xfId="1" applyBorder="1" applyAlignment="1">
      <alignment horizontal="center"/>
    </xf>
    <xf numFmtId="0" fontId="13" fillId="0" borderId="7" xfId="1" applyBorder="1"/>
    <xf numFmtId="0" fontId="13" fillId="0" borderId="27" xfId="1" applyBorder="1"/>
    <xf numFmtId="0" fontId="14" fillId="3" borderId="6" xfId="1" applyFont="1" applyFill="1" applyBorder="1" applyAlignment="1">
      <alignment horizontal="centerContinuous" vertical="center"/>
    </xf>
    <xf numFmtId="0" fontId="21" fillId="0" borderId="26" xfId="0" applyFont="1" applyBorder="1" applyAlignment="1">
      <alignment vertical="center"/>
    </xf>
    <xf numFmtId="0" fontId="18" fillId="0" borderId="8" xfId="0" applyFont="1" applyBorder="1" applyAlignment="1">
      <alignment vertical="center"/>
    </xf>
    <xf numFmtId="0" fontId="22" fillId="0" borderId="13" xfId="0" applyFont="1" applyBorder="1" applyAlignment="1">
      <alignment vertical="center"/>
    </xf>
    <xf numFmtId="0" fontId="18" fillId="0" borderId="0" xfId="0" applyFont="1" applyBorder="1" applyAlignment="1">
      <alignment vertical="center"/>
    </xf>
    <xf numFmtId="0" fontId="23" fillId="0" borderId="13" xfId="0" applyFont="1" applyBorder="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8" fillId="0" borderId="26" xfId="0" applyFont="1" applyBorder="1" applyAlignment="1">
      <alignment vertical="center"/>
    </xf>
    <xf numFmtId="0" fontId="18" fillId="0" borderId="13" xfId="0" applyFont="1" applyBorder="1" applyAlignment="1">
      <alignment vertical="center"/>
    </xf>
    <xf numFmtId="0" fontId="18" fillId="0" borderId="0" xfId="0" applyFont="1" applyAlignment="1">
      <alignment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lignment horizontal="center" vertical="center"/>
    </xf>
    <xf numFmtId="0" fontId="24" fillId="0" borderId="1" xfId="0" applyFont="1" applyBorder="1" applyAlignment="1">
      <alignment horizontal="center" vertical="center"/>
    </xf>
    <xf numFmtId="0" fontId="24" fillId="0" borderId="22" xfId="0" applyFont="1" applyBorder="1" applyAlignment="1">
      <alignment vertical="center"/>
    </xf>
    <xf numFmtId="14" fontId="24" fillId="0" borderId="28" xfId="0" applyNumberFormat="1" applyFont="1" applyBorder="1" applyAlignment="1">
      <alignment horizontal="center" vertical="center"/>
    </xf>
    <xf numFmtId="0" fontId="25" fillId="0" borderId="20" xfId="0" applyFont="1" applyBorder="1" applyAlignment="1">
      <alignment horizontal="center" vertical="center"/>
    </xf>
    <xf numFmtId="0" fontId="25" fillId="0" borderId="20" xfId="0" applyFont="1" applyBorder="1" applyAlignment="1">
      <alignment vertical="center"/>
    </xf>
    <xf numFmtId="0" fontId="25" fillId="0" borderId="21" xfId="0" applyFont="1" applyBorder="1" applyAlignment="1">
      <alignment horizontal="center" vertical="center"/>
    </xf>
    <xf numFmtId="4" fontId="3" fillId="0" borderId="29" xfId="0" applyNumberFormat="1" applyFont="1" applyBorder="1" applyAlignment="1">
      <alignment horizontal="center" vertical="center" wrapText="1"/>
    </xf>
    <xf numFmtId="0" fontId="6" fillId="0" borderId="30" xfId="0" applyFont="1" applyBorder="1"/>
    <xf numFmtId="4" fontId="3" fillId="0" borderId="8" xfId="0" applyNumberFormat="1" applyFont="1" applyBorder="1" applyAlignment="1">
      <alignment horizontal="center" vertical="center" wrapText="1"/>
    </xf>
    <xf numFmtId="4" fontId="1" fillId="0" borderId="13" xfId="0" applyNumberFormat="1" applyFont="1" applyBorder="1" applyAlignment="1">
      <alignment vertical="center"/>
    </xf>
    <xf numFmtId="4" fontId="1" fillId="0" borderId="19" xfId="0" applyNumberFormat="1" applyFont="1" applyBorder="1" applyAlignment="1">
      <alignment vertical="center"/>
    </xf>
    <xf numFmtId="0" fontId="1" fillId="0" borderId="22" xfId="0" applyFont="1" applyBorder="1" applyAlignment="1">
      <alignment horizontal="center"/>
    </xf>
    <xf numFmtId="0" fontId="1" fillId="0" borderId="12" xfId="0" applyFont="1" applyBorder="1" applyAlignment="1">
      <alignment horizontal="right"/>
    </xf>
    <xf numFmtId="14" fontId="2" fillId="0" borderId="12" xfId="0" applyNumberFormat="1" applyFont="1" applyBorder="1" applyAlignment="1">
      <alignment horizontal="centerContinuous" vertical="center"/>
    </xf>
    <xf numFmtId="14" fontId="1" fillId="0" borderId="1" xfId="0" applyNumberFormat="1" applyFont="1" applyBorder="1" applyAlignment="1">
      <alignment horizontal="centerContinuous" vertical="center"/>
    </xf>
    <xf numFmtId="14" fontId="1" fillId="0" borderId="12" xfId="0" applyNumberFormat="1" applyFont="1" applyBorder="1" applyAlignment="1">
      <alignment horizontal="centerContinuous" vertical="center"/>
    </xf>
    <xf numFmtId="0" fontId="26" fillId="12" borderId="7" xfId="0" applyFont="1" applyFill="1" applyBorder="1" applyAlignment="1">
      <alignment horizontal="center"/>
    </xf>
    <xf numFmtId="0" fontId="26" fillId="12" borderId="4" xfId="0" applyFont="1" applyFill="1" applyBorder="1" applyAlignment="1">
      <alignment horizontal="center"/>
    </xf>
    <xf numFmtId="14" fontId="26" fillId="12" borderId="14" xfId="0" applyNumberFormat="1" applyFont="1" applyFill="1" applyBorder="1" applyAlignment="1">
      <alignment horizontal="center" vertical="center"/>
    </xf>
    <xf numFmtId="14" fontId="26" fillId="12" borderId="0" xfId="0" applyNumberFormat="1" applyFont="1" applyFill="1" applyBorder="1" applyAlignment="1">
      <alignment horizontal="center" vertical="center"/>
    </xf>
    <xf numFmtId="0" fontId="3" fillId="0" borderId="1" xfId="0" applyFont="1" applyBorder="1"/>
    <xf numFmtId="0" fontId="1" fillId="0" borderId="12" xfId="0" applyFont="1" applyBorder="1" applyAlignment="1" applyProtection="1">
      <alignment horizontal="center" vertical="center"/>
      <protection locked="0"/>
    </xf>
    <xf numFmtId="0" fontId="1" fillId="13" borderId="12" xfId="0" applyFont="1" applyFill="1" applyBorder="1" applyAlignment="1" applyProtection="1">
      <alignment horizontal="center" vertical="center"/>
      <protection locked="0"/>
    </xf>
    <xf numFmtId="0" fontId="1" fillId="13" borderId="2" xfId="0" applyFont="1" applyFill="1" applyBorder="1" applyAlignment="1" applyProtection="1">
      <alignment horizontal="center" vertical="center"/>
      <protection locked="0"/>
    </xf>
    <xf numFmtId="0" fontId="1" fillId="0" borderId="1" xfId="0" applyFont="1" applyBorder="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23" xfId="0" applyFont="1" applyBorder="1" applyAlignment="1">
      <alignment horizontal="center"/>
    </xf>
    <xf numFmtId="0" fontId="4" fillId="0" borderId="23" xfId="0" applyNumberFormat="1" applyFont="1" applyBorder="1" applyAlignment="1">
      <alignment horizontal="center" vertical="center"/>
    </xf>
    <xf numFmtId="0" fontId="1" fillId="0" borderId="3" xfId="0" applyFont="1" applyBorder="1" applyAlignment="1">
      <alignment horizontal="center"/>
    </xf>
    <xf numFmtId="0" fontId="4" fillId="0" borderId="3" xfId="0" applyNumberFormat="1" applyFont="1" applyBorder="1" applyAlignment="1">
      <alignment horizontal="center" vertical="center"/>
    </xf>
    <xf numFmtId="0" fontId="1" fillId="0" borderId="4" xfId="0" applyFont="1" applyBorder="1" applyAlignment="1">
      <alignment horizontal="center"/>
    </xf>
    <xf numFmtId="0" fontId="4" fillId="0" borderId="4" xfId="0" applyNumberFormat="1" applyFont="1" applyBorder="1" applyAlignment="1">
      <alignment horizontal="center" vertical="center"/>
    </xf>
    <xf numFmtId="0" fontId="2" fillId="0" borderId="0" xfId="0" applyFont="1" applyAlignment="1"/>
    <xf numFmtId="0" fontId="2" fillId="0" borderId="5" xfId="0" applyFont="1" applyBorder="1" applyAlignment="1"/>
    <xf numFmtId="0" fontId="2" fillId="0" borderId="0" xfId="0" applyFont="1" applyAlignment="1">
      <alignment horizontal="right" vertical="center"/>
    </xf>
    <xf numFmtId="0" fontId="2" fillId="0" borderId="5" xfId="0" applyFont="1" applyBorder="1" applyAlignment="1">
      <alignment horizontal="right" vertical="center"/>
    </xf>
    <xf numFmtId="0" fontId="27" fillId="0" borderId="0" xfId="0" applyFont="1"/>
    <xf numFmtId="4" fontId="17" fillId="0" borderId="17" xfId="0" applyNumberFormat="1" applyFont="1" applyBorder="1" applyAlignment="1">
      <alignment horizontal="center"/>
    </xf>
    <xf numFmtId="4" fontId="17" fillId="0" borderId="14" xfId="0" applyNumberFormat="1" applyFont="1" applyBorder="1" applyAlignment="1">
      <alignment horizontal="center"/>
    </xf>
    <xf numFmtId="4" fontId="17" fillId="0" borderId="27" xfId="0" applyNumberFormat="1" applyFont="1" applyBorder="1" applyAlignment="1">
      <alignment horizontal="center"/>
    </xf>
    <xf numFmtId="4" fontId="17" fillId="0" borderId="23" xfId="0" applyNumberFormat="1" applyFont="1" applyBorder="1" applyAlignment="1">
      <alignment horizontal="center"/>
    </xf>
    <xf numFmtId="4" fontId="17" fillId="0" borderId="3" xfId="0" applyNumberFormat="1" applyFont="1" applyBorder="1" applyAlignment="1">
      <alignment horizontal="center"/>
    </xf>
    <xf numFmtId="4" fontId="17" fillId="0" borderId="4" xfId="0" applyNumberFormat="1" applyFont="1" applyBorder="1" applyAlignment="1">
      <alignment horizontal="center"/>
    </xf>
    <xf numFmtId="0" fontId="5" fillId="0" borderId="1" xfId="0" applyFont="1" applyBorder="1" applyAlignment="1">
      <alignment horizontal="center" vertical="center"/>
    </xf>
    <xf numFmtId="0" fontId="6" fillId="11" borderId="24" xfId="0" applyFont="1" applyFill="1" applyBorder="1" applyAlignment="1">
      <alignment horizontal="center" vertical="center"/>
    </xf>
    <xf numFmtId="0" fontId="17" fillId="0" borderId="0" xfId="0" applyFont="1"/>
    <xf numFmtId="0" fontId="17" fillId="0" borderId="0" xfId="0" applyFont="1" applyAlignment="1">
      <alignment horizontal="center"/>
    </xf>
    <xf numFmtId="0" fontId="17" fillId="0" borderId="0" xfId="0" applyFont="1" applyAlignment="1">
      <alignment wrapText="1"/>
    </xf>
    <xf numFmtId="0" fontId="17" fillId="0" borderId="3" xfId="0" applyFont="1" applyBorder="1" applyAlignment="1">
      <alignment horizontal="center"/>
    </xf>
    <xf numFmtId="0" fontId="18" fillId="0" borderId="0" xfId="0" applyFont="1"/>
    <xf numFmtId="0" fontId="18" fillId="0" borderId="13" xfId="0" applyFont="1" applyBorder="1" applyAlignment="1">
      <alignment vertical="center"/>
    </xf>
    <xf numFmtId="14" fontId="26" fillId="12" borderId="14" xfId="0" applyNumberFormat="1" applyFont="1" applyFill="1" applyBorder="1" applyAlignment="1">
      <alignment horizontal="center" vertical="center"/>
    </xf>
    <xf numFmtId="14" fontId="26" fillId="12" borderId="0" xfId="0" applyNumberFormat="1" applyFont="1" applyFill="1" applyBorder="1" applyAlignment="1">
      <alignment horizontal="center" vertical="center"/>
    </xf>
    <xf numFmtId="0" fontId="1" fillId="13" borderId="12" xfId="0" applyFont="1" applyFill="1" applyBorder="1" applyAlignment="1" applyProtection="1">
      <alignment horizontal="center" vertical="center"/>
      <protection locked="0"/>
    </xf>
    <xf numFmtId="0" fontId="1" fillId="13" borderId="2" xfId="0" applyFont="1" applyFill="1" applyBorder="1" applyAlignment="1" applyProtection="1">
      <alignment horizontal="center" vertical="center"/>
      <protection locked="0"/>
    </xf>
    <xf numFmtId="0" fontId="13" fillId="9" borderId="0" xfId="1" applyFill="1" applyBorder="1" applyAlignment="1">
      <alignment horizontal="center"/>
    </xf>
    <xf numFmtId="0" fontId="13" fillId="10" borderId="0" xfId="1" applyFill="1" applyBorder="1" applyAlignment="1">
      <alignment horizontal="center"/>
    </xf>
    <xf numFmtId="0" fontId="24" fillId="0" borderId="1" xfId="0" applyFont="1" applyBorder="1" applyAlignment="1">
      <alignment horizontal="center" vertical="center"/>
    </xf>
    <xf numFmtId="0" fontId="24" fillId="0" borderId="22" xfId="0" applyFont="1" applyBorder="1" applyAlignment="1">
      <alignment vertical="center"/>
    </xf>
    <xf numFmtId="14" fontId="24" fillId="0" borderId="28"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left" vertical="center"/>
    </xf>
    <xf numFmtId="0" fontId="6" fillId="0" borderId="0" xfId="0" applyFont="1" applyAlignment="1"/>
    <xf numFmtId="49" fontId="4" fillId="0" borderId="3" xfId="0" applyNumberFormat="1" applyFont="1" applyBorder="1" applyAlignment="1">
      <alignment horizontal="center" vertical="center"/>
    </xf>
    <xf numFmtId="0" fontId="29" fillId="14" borderId="0" xfId="0" applyFont="1" applyFill="1"/>
    <xf numFmtId="0" fontId="28" fillId="14" borderId="0" xfId="1" applyFont="1" applyFill="1"/>
    <xf numFmtId="0" fontId="29" fillId="14" borderId="0" xfId="0" applyFont="1" applyFill="1" applyAlignment="1">
      <alignment vertical="center"/>
    </xf>
    <xf numFmtId="0" fontId="29" fillId="14" borderId="0" xfId="0" applyFont="1" applyFill="1" applyAlignment="1"/>
    <xf numFmtId="0" fontId="18" fillId="14" borderId="0" xfId="0" applyFont="1" applyFill="1"/>
    <xf numFmtId="0" fontId="18" fillId="14" borderId="1" xfId="0" applyFont="1" applyFill="1" applyBorder="1" applyAlignment="1">
      <alignment horizontal="center" vertical="center"/>
    </xf>
    <xf numFmtId="0" fontId="31" fillId="15" borderId="1" xfId="1" applyFont="1" applyFill="1" applyBorder="1" applyAlignment="1">
      <alignment horizontal="center" vertical="center"/>
    </xf>
    <xf numFmtId="49" fontId="4" fillId="0" borderId="3" xfId="0" quotePrefix="1" applyNumberFormat="1" applyFont="1" applyBorder="1" applyAlignment="1">
      <alignment horizontal="center" vertical="center"/>
    </xf>
    <xf numFmtId="0" fontId="18" fillId="14" borderId="1" xfId="0" applyFont="1" applyFill="1" applyBorder="1" applyAlignment="1">
      <alignment horizontal="center" vertical="center" wrapText="1"/>
    </xf>
    <xf numFmtId="0" fontId="20" fillId="0" borderId="0" xfId="2" applyFont="1"/>
    <xf numFmtId="0" fontId="16" fillId="6" borderId="31" xfId="2" applyFill="1" applyBorder="1" applyAlignment="1">
      <alignment horizontal="center" vertical="top" wrapText="1"/>
    </xf>
    <xf numFmtId="0" fontId="16" fillId="6" borderId="32" xfId="2" applyFill="1" applyBorder="1" applyAlignment="1">
      <alignment horizontal="center" vertical="top" wrapText="1"/>
    </xf>
    <xf numFmtId="0" fontId="16" fillId="6" borderId="33" xfId="2" applyFill="1" applyBorder="1" applyAlignment="1">
      <alignment horizontal="center" vertical="top" wrapText="1"/>
    </xf>
    <xf numFmtId="0" fontId="16" fillId="6" borderId="34" xfId="2" applyFill="1" applyBorder="1" applyAlignment="1">
      <alignment horizontal="center" vertical="top" wrapText="1"/>
    </xf>
    <xf numFmtId="0" fontId="16" fillId="6" borderId="0" xfId="2" applyFill="1" applyBorder="1" applyAlignment="1">
      <alignment horizontal="center" vertical="top" wrapText="1"/>
    </xf>
    <xf numFmtId="0" fontId="16" fillId="6" borderId="35" xfId="2" applyFill="1" applyBorder="1" applyAlignment="1">
      <alignment horizontal="center" vertical="top" wrapText="1"/>
    </xf>
    <xf numFmtId="0" fontId="16" fillId="6" borderId="36" xfId="2" applyFill="1" applyBorder="1" applyAlignment="1">
      <alignment horizontal="center" vertical="top" wrapText="1"/>
    </xf>
    <xf numFmtId="0" fontId="16" fillId="6" borderId="37" xfId="2" applyFill="1" applyBorder="1" applyAlignment="1">
      <alignment horizontal="center" vertical="top" wrapText="1"/>
    </xf>
    <xf numFmtId="0" fontId="16" fillId="6" borderId="38" xfId="2" applyFill="1" applyBorder="1" applyAlignment="1">
      <alignment horizontal="center" vertical="top" wrapText="1"/>
    </xf>
    <xf numFmtId="0" fontId="11" fillId="0" borderId="2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4" fillId="3" borderId="2" xfId="1" applyFont="1" applyFill="1" applyBorder="1" applyAlignment="1">
      <alignment horizontal="center" vertical="center"/>
    </xf>
    <xf numFmtId="0" fontId="24" fillId="0" borderId="23" xfId="0" applyFont="1" applyBorder="1" applyAlignment="1">
      <alignment horizontal="center" vertical="center"/>
    </xf>
    <xf numFmtId="0" fontId="24" fillId="0" borderId="4" xfId="0" applyFont="1" applyBorder="1" applyAlignment="1">
      <alignment horizontal="center" vertical="center"/>
    </xf>
    <xf numFmtId="0" fontId="18" fillId="14" borderId="1" xfId="0" applyFont="1" applyFill="1" applyBorder="1" applyAlignment="1">
      <alignment vertical="center"/>
    </xf>
    <xf numFmtId="0" fontId="32" fillId="15" borderId="22" xfId="1" applyFont="1" applyFill="1" applyBorder="1" applyAlignment="1">
      <alignment horizontal="center" vertical="center"/>
    </xf>
    <xf numFmtId="0" fontId="32" fillId="15" borderId="2" xfId="1" applyFont="1" applyFill="1" applyBorder="1" applyAlignment="1">
      <alignment horizontal="center" vertical="center"/>
    </xf>
    <xf numFmtId="0" fontId="32" fillId="15" borderId="12" xfId="1" applyFont="1" applyFill="1" applyBorder="1" applyAlignment="1">
      <alignment horizontal="center" vertical="center"/>
    </xf>
    <xf numFmtId="0" fontId="30" fillId="15" borderId="1" xfId="0" applyFont="1" applyFill="1" applyBorder="1" applyAlignment="1">
      <alignment horizontal="center" vertical="center"/>
    </xf>
  </cellXfs>
  <cellStyles count="3">
    <cellStyle name="Normal" xfId="0" builtinId="0"/>
    <cellStyle name="Normal_P241 cortec" xfId="1" xr:uid="{00000000-0005-0000-0000-000001000000}"/>
    <cellStyle name="Normal_Templat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16" fmlaLink="Language!$A$3" fmlaRange="Language!$B$4:$B$5" noThreeD="1" sel="1" val="0"/>
</file>

<file path=xl/ctrlProps/ctrlProp10.xml><?xml version="1.0" encoding="utf-8"?>
<formControlPr xmlns="http://schemas.microsoft.com/office/spreadsheetml/2009/9/main" objectType="List" dx="16" fmlaLink="Database!$D$60" fmlaRange="Database!$E$61:$E$61" noThreeD="1" sel="1" val="0"/>
</file>

<file path=xl/ctrlProps/ctrlProp11.xml><?xml version="1.0" encoding="utf-8"?>
<formControlPr xmlns="http://schemas.microsoft.com/office/spreadsheetml/2009/9/main" objectType="List" dx="16" fmlaLink="Database!$D$57" fmlaRange="Database!$E$58:$E$59" noThreeD="1" sel="1" val="0"/>
</file>

<file path=xl/ctrlProps/ctrlProp2.xml><?xml version="1.0" encoding="utf-8"?>
<formControlPr xmlns="http://schemas.microsoft.com/office/spreadsheetml/2009/9/main" objectType="List" dx="16" fmlaLink="Database!$D$9" fmlaRange="Database!$E$10:$E$12" noThreeD="1" sel="2" val="0"/>
</file>

<file path=xl/ctrlProps/ctrlProp3.xml><?xml version="1.0" encoding="utf-8"?>
<formControlPr xmlns="http://schemas.microsoft.com/office/spreadsheetml/2009/9/main" objectType="List" dx="16" fmlaLink="Database!$D$14" fmlaRange="Database!$E$15" noThreeD="1" sel="1" val="0"/>
</file>

<file path=xl/ctrlProps/ctrlProp4.xml><?xml version="1.0" encoding="utf-8"?>
<formControlPr xmlns="http://schemas.microsoft.com/office/spreadsheetml/2009/9/main" objectType="List" dx="16" fmlaLink="Database!$D$5" fmlaRange="Database!$E$6:$E$7" noThreeD="1" sel="2" val="0"/>
</file>

<file path=xl/ctrlProps/ctrlProp5.xml><?xml version="1.0" encoding="utf-8"?>
<formControlPr xmlns="http://schemas.microsoft.com/office/spreadsheetml/2009/9/main" objectType="List" dx="16" fmlaLink="Database!$D$18" fmlaRange="Database!$E$19:$E$27" noThreeD="1" sel="1" val="0"/>
</file>

<file path=xl/ctrlProps/ctrlProp6.xml><?xml version="1.0" encoding="utf-8"?>
<formControlPr xmlns="http://schemas.microsoft.com/office/spreadsheetml/2009/9/main" objectType="List" dx="16" fmlaLink="Database!$D$33" fmlaRange="Database!$E$34:$E$37" noThreeD="1" sel="1" val="0"/>
</file>

<file path=xl/ctrlProps/ctrlProp7.xml><?xml version="1.0" encoding="utf-8"?>
<formControlPr xmlns="http://schemas.microsoft.com/office/spreadsheetml/2009/9/main" objectType="List" dx="16" fmlaLink="Database!$D$39" fmlaRange="Database!$E$40:$E$43" noThreeD="1" sel="4" val="0"/>
</file>

<file path=xl/ctrlProps/ctrlProp8.xml><?xml version="1.0" encoding="utf-8"?>
<formControlPr xmlns="http://schemas.microsoft.com/office/spreadsheetml/2009/9/main" objectType="List" dx="16" fmlaLink="Database!$D$45" fmlaRange="Database!$E$46:$E$49" noThreeD="1" sel="1" val="0"/>
</file>

<file path=xl/ctrlProps/ctrlProp9.xml><?xml version="1.0" encoding="utf-8"?>
<formControlPr xmlns="http://schemas.microsoft.com/office/spreadsheetml/2009/9/main" objectType="List" dx="16" fmlaLink="Database!$D$51" fmlaRange="Database!$E$52:$E$55"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47625</xdr:rowOff>
        </xdr:from>
        <xdr:to>
          <xdr:col>4</xdr:col>
          <xdr:colOff>0</xdr:colOff>
          <xdr:row>14</xdr:row>
          <xdr:rowOff>180975</xdr:rowOff>
        </xdr:to>
        <xdr:sp macro="" textlink="">
          <xdr:nvSpPr>
            <xdr:cNvPr id="6145" name="List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6</xdr:col>
          <xdr:colOff>0</xdr:colOff>
          <xdr:row>8</xdr:row>
          <xdr:rowOff>0</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6</xdr:col>
          <xdr:colOff>0</xdr:colOff>
          <xdr:row>10</xdr:row>
          <xdr:rowOff>0</xdr:rowOff>
        </xdr:to>
        <xdr:sp macro="" textlink="">
          <xdr:nvSpPr>
            <xdr:cNvPr id="4098" name="List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6</xdr:col>
          <xdr:colOff>0</xdr:colOff>
          <xdr:row>6</xdr:row>
          <xdr:rowOff>0</xdr:rowOff>
        </xdr:to>
        <xdr:sp macro="" textlink="">
          <xdr:nvSpPr>
            <xdr:cNvPr id="4099" name="List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6</xdr:col>
          <xdr:colOff>0</xdr:colOff>
          <xdr:row>12</xdr:row>
          <xdr:rowOff>0</xdr:rowOff>
        </xdr:to>
        <xdr:sp macro="" textlink="">
          <xdr:nvSpPr>
            <xdr:cNvPr id="4100" name="List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6</xdr:col>
          <xdr:colOff>0</xdr:colOff>
          <xdr:row>14</xdr:row>
          <xdr:rowOff>0</xdr:rowOff>
        </xdr:to>
        <xdr:sp macro="" textlink="">
          <xdr:nvSpPr>
            <xdr:cNvPr id="4101" name="List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6</xdr:col>
          <xdr:colOff>0</xdr:colOff>
          <xdr:row>16</xdr:row>
          <xdr:rowOff>0</xdr:rowOff>
        </xdr:to>
        <xdr:sp macro="" textlink="">
          <xdr:nvSpPr>
            <xdr:cNvPr id="4102" name="List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6</xdr:col>
          <xdr:colOff>0</xdr:colOff>
          <xdr:row>18</xdr:row>
          <xdr:rowOff>0</xdr:rowOff>
        </xdr:to>
        <xdr:sp macro="" textlink="">
          <xdr:nvSpPr>
            <xdr:cNvPr id="4108" name="List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6</xdr:col>
          <xdr:colOff>0</xdr:colOff>
          <xdr:row>20</xdr:row>
          <xdr:rowOff>0</xdr:rowOff>
        </xdr:to>
        <xdr:sp macro="" textlink="">
          <xdr:nvSpPr>
            <xdr:cNvPr id="4119" name="List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6</xdr:col>
          <xdr:colOff>0</xdr:colOff>
          <xdr:row>24</xdr:row>
          <xdr:rowOff>0</xdr:rowOff>
        </xdr:to>
        <xdr:sp macro="" textlink="">
          <xdr:nvSpPr>
            <xdr:cNvPr id="4120" name="List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6</xdr:col>
          <xdr:colOff>9525</xdr:colOff>
          <xdr:row>22</xdr:row>
          <xdr:rowOff>0</xdr:rowOff>
        </xdr:to>
        <xdr:sp macro="" textlink="">
          <xdr:nvSpPr>
            <xdr:cNvPr id="4123" name="List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B1:J15"/>
  <sheetViews>
    <sheetView showGridLines="0" showRowColHeaders="0" tabSelected="1" workbookViewId="0">
      <selection activeCell="G12" sqref="G12"/>
    </sheetView>
  </sheetViews>
  <sheetFormatPr defaultColWidth="10.28515625" defaultRowHeight="14.25"/>
  <cols>
    <col min="1" max="1" width="4.140625" style="113" customWidth="1"/>
    <col min="2" max="9" width="11.42578125" style="113" customWidth="1"/>
    <col min="10" max="10" width="45.140625" style="113" customWidth="1"/>
    <col min="11" max="16384" width="10.28515625" style="113"/>
  </cols>
  <sheetData>
    <row r="1" spans="2:10" ht="20.25">
      <c r="B1" s="256" t="str">
        <f>HLOOKUP(Language!$C$3,Language!$E$1:$Z536,77,FALSE)</f>
        <v>THIS CORTEC FILE HAS BEEN REPLACED BY THE S20 CORTEC FILE</v>
      </c>
    </row>
    <row r="2" spans="2:10" ht="15" thickBot="1"/>
    <row r="3" spans="2:10" ht="15" customHeight="1" thickTop="1">
      <c r="B3" s="257" t="str">
        <f>HLOOKUP(Language!$C$3,Language!$E$1:$Z528,36,FALSE)</f>
        <v xml:space="preserve">Our policy is one of continuous development. Accordingly the design of our products may change at any time. </v>
      </c>
      <c r="C3" s="258"/>
      <c r="D3" s="258"/>
      <c r="E3" s="258"/>
      <c r="F3" s="258"/>
      <c r="G3" s="258"/>
      <c r="H3" s="258"/>
      <c r="I3" s="258"/>
      <c r="J3" s="259"/>
    </row>
    <row r="4" spans="2:10">
      <c r="B4" s="260" t="str">
        <f>HLOOKUP(Language!$C$3,Language!$E$1:$Z528,37,FALSE)</f>
        <v>Whilst every effort is made to produce up to date literature, this document should only be regarded as a guide and is intended for information purposes only.</v>
      </c>
      <c r="C4" s="261"/>
      <c r="D4" s="261"/>
      <c r="E4" s="261"/>
      <c r="F4" s="261"/>
      <c r="G4" s="261"/>
      <c r="H4" s="261"/>
      <c r="I4" s="261"/>
      <c r="J4" s="262"/>
    </row>
    <row r="5" spans="2:10">
      <c r="B5" s="260"/>
      <c r="C5" s="261"/>
      <c r="D5" s="261"/>
      <c r="E5" s="261"/>
      <c r="F5" s="261"/>
      <c r="G5" s="261"/>
      <c r="H5" s="261"/>
      <c r="I5" s="261"/>
      <c r="J5" s="262"/>
    </row>
    <row r="6" spans="2:10">
      <c r="B6" s="260" t="str">
        <f>HLOOKUP(Language!$C$3,Language!$E$1:$Z528,38,FALSE)</f>
        <v>Its contents do not constitute an offer for sale or advice on the application of any product referred to in it. We cannot be held responsible for any reliance on any decisions taken on its contents without specific advice.</v>
      </c>
      <c r="C6" s="261"/>
      <c r="D6" s="261"/>
      <c r="E6" s="261"/>
      <c r="F6" s="261"/>
      <c r="G6" s="261"/>
      <c r="H6" s="261"/>
      <c r="I6" s="261"/>
      <c r="J6" s="262"/>
    </row>
    <row r="7" spans="2:10">
      <c r="B7" s="260"/>
      <c r="C7" s="261"/>
      <c r="D7" s="261"/>
      <c r="E7" s="261"/>
      <c r="F7" s="261"/>
      <c r="G7" s="261"/>
      <c r="H7" s="261"/>
      <c r="I7" s="261"/>
      <c r="J7" s="262"/>
    </row>
    <row r="8" spans="2:10" ht="2.25" customHeight="1" thickBot="1">
      <c r="B8" s="263"/>
      <c r="C8" s="264"/>
      <c r="D8" s="264"/>
      <c r="E8" s="264"/>
      <c r="F8" s="264"/>
      <c r="G8" s="264"/>
      <c r="H8" s="264"/>
      <c r="I8" s="264"/>
      <c r="J8" s="265"/>
    </row>
    <row r="9" spans="2:10" ht="15" thickTop="1"/>
    <row r="10" spans="2:10" ht="15" thickBot="1"/>
    <row r="11" spans="2:10" ht="15.75">
      <c r="B11" s="266" t="str">
        <f>HLOOKUP(Language!$C$3,Language!$E$1:$Z528,39,FALSE)</f>
        <v>Language Selection</v>
      </c>
      <c r="C11" s="267"/>
      <c r="D11" s="268"/>
    </row>
    <row r="12" spans="2:10">
      <c r="B12" s="114"/>
      <c r="C12" s="115"/>
      <c r="D12" s="116"/>
    </row>
    <row r="13" spans="2:10">
      <c r="B13" s="114"/>
      <c r="C13" s="115"/>
      <c r="D13" s="116"/>
    </row>
    <row r="14" spans="2:10">
      <c r="B14" s="114"/>
      <c r="C14" s="115"/>
      <c r="D14" s="116"/>
    </row>
    <row r="15" spans="2:10" ht="15" thickBot="1">
      <c r="B15" s="117"/>
      <c r="C15" s="118"/>
      <c r="D15" s="119"/>
    </row>
  </sheetData>
  <sheetProtection password="C927" sheet="1" objects="1" scenarios="1"/>
  <mergeCells count="4">
    <mergeCell ref="B3:J3"/>
    <mergeCell ref="B4:J5"/>
    <mergeCell ref="B6:J8"/>
    <mergeCell ref="B11:D11"/>
  </mergeCells>
  <pageMargins left="0.511811024" right="0.511811024" top="0.78740157499999996" bottom="0.78740157499999996" header="0.31496062000000002" footer="0.31496062000000002"/>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List Box 1">
              <controlPr defaultSize="0" autoLine="0" autoPict="0">
                <anchor moveWithCells="1">
                  <from>
                    <xdr:col>1</xdr:col>
                    <xdr:colOff>0</xdr:colOff>
                    <xdr:row>11</xdr:row>
                    <xdr:rowOff>47625</xdr:rowOff>
                  </from>
                  <to>
                    <xdr:col>4</xdr:col>
                    <xdr:colOff>0</xdr:colOff>
                    <xdr:row>14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P71"/>
  <sheetViews>
    <sheetView showGridLines="0" zoomScale="110" zoomScaleNormal="110" workbookViewId="0">
      <selection activeCell="C16" sqref="C16"/>
    </sheetView>
  </sheetViews>
  <sheetFormatPr defaultRowHeight="12.75"/>
  <cols>
    <col min="1" max="1" width="8.140625" style="87" customWidth="1"/>
    <col min="2" max="2" width="19" style="87" customWidth="1"/>
    <col min="3" max="3" width="104.7109375" style="87" customWidth="1"/>
    <col min="4" max="4" width="16.42578125" style="112" customWidth="1"/>
    <col min="5" max="10" width="3.28515625" style="112" customWidth="1"/>
    <col min="11" max="12" width="3.28515625" style="86" customWidth="1"/>
    <col min="13" max="13" width="5.5703125" style="86" bestFit="1" customWidth="1"/>
    <col min="14" max="14" width="5.5703125" style="112" bestFit="1" customWidth="1"/>
    <col min="15" max="16384" width="9.140625" style="87"/>
  </cols>
  <sheetData>
    <row r="1" spans="1:250" ht="20.25">
      <c r="A1" s="256" t="str">
        <f>HLOOKUP(Language!$C$3,Language!$E$1:$Z536,77,FALSE)</f>
        <v>THIS CORTEC FILE HAS BEEN REPLACED BY THE S20 CORTEC FILE</v>
      </c>
    </row>
    <row r="2" spans="1:250">
      <c r="A2" s="85" t="str">
        <f>HLOOKUP(Language!$C$3,Language!$E$1:$Z528,33,FALSE)</f>
        <v>Information required with Order</v>
      </c>
      <c r="B2" s="85"/>
      <c r="C2" s="85"/>
      <c r="D2" s="85"/>
      <c r="E2" s="85"/>
      <c r="F2" s="85"/>
      <c r="G2" s="85"/>
      <c r="H2" s="85"/>
      <c r="I2" s="85"/>
      <c r="J2" s="85"/>
      <c r="K2" s="85"/>
      <c r="L2" s="85"/>
      <c r="M2" s="85"/>
      <c r="N2" s="85"/>
    </row>
    <row r="3" spans="1:250">
      <c r="A3" s="85"/>
      <c r="B3" s="85"/>
      <c r="C3" s="85"/>
      <c r="D3" s="86"/>
      <c r="E3" s="86"/>
      <c r="F3" s="86"/>
      <c r="G3" s="86"/>
      <c r="H3" s="86"/>
      <c r="I3" s="86"/>
      <c r="J3" s="86"/>
      <c r="N3" s="86"/>
    </row>
    <row r="4" spans="1:250" ht="15" customHeight="1">
      <c r="A4" s="88" t="str">
        <f>HLOOKUP(Language!$C$3,Language!$E$1:$Z528,34,FALSE)</f>
        <v>Variants</v>
      </c>
      <c r="B4" s="269"/>
      <c r="C4" s="269"/>
      <c r="D4" s="162" t="str">
        <f>HLOOKUP(Language!$C$3,Language!$E$1:$Z528,35,FALSE)</f>
        <v>Order Number</v>
      </c>
      <c r="E4" s="162"/>
      <c r="F4" s="162"/>
      <c r="G4" s="162"/>
      <c r="H4" s="162"/>
      <c r="I4" s="162"/>
      <c r="J4" s="162"/>
      <c r="K4" s="162"/>
      <c r="L4" s="162"/>
      <c r="M4" s="162"/>
      <c r="N4" s="162"/>
    </row>
    <row r="5" spans="1:250">
      <c r="A5" s="89"/>
      <c r="B5" s="90"/>
      <c r="C5" s="91"/>
      <c r="D5" s="92" t="s">
        <v>39</v>
      </c>
      <c r="E5" s="93">
        <v>6</v>
      </c>
      <c r="F5" s="94">
        <v>7</v>
      </c>
      <c r="G5" s="92">
        <v>8</v>
      </c>
      <c r="H5" s="93">
        <v>9</v>
      </c>
      <c r="I5" s="93">
        <v>10</v>
      </c>
      <c r="J5" s="93">
        <v>11</v>
      </c>
      <c r="K5" s="93">
        <v>12</v>
      </c>
      <c r="L5" s="93">
        <v>13</v>
      </c>
      <c r="M5" s="93" t="s">
        <v>87</v>
      </c>
      <c r="N5" s="93" t="s">
        <v>88</v>
      </c>
    </row>
    <row r="6" spans="1:250">
      <c r="A6" s="95" t="str">
        <f>Database!B2</f>
        <v>Model Type</v>
      </c>
      <c r="B6" s="85"/>
      <c r="C6" s="85"/>
      <c r="D6" s="96"/>
      <c r="E6" s="98"/>
      <c r="F6" s="99"/>
      <c r="G6" s="100"/>
      <c r="H6" s="98"/>
      <c r="I6" s="101"/>
      <c r="J6" s="102"/>
      <c r="K6" s="98"/>
      <c r="L6" s="101"/>
      <c r="M6" s="102"/>
      <c r="N6" s="98"/>
    </row>
    <row r="7" spans="1:250">
      <c r="A7" s="103" t="str">
        <f ca="1">'Master Text'!A3</f>
        <v>S2020 Modular Managed Ethernet Switch</v>
      </c>
      <c r="B7" s="104"/>
      <c r="C7" s="104"/>
      <c r="D7" s="105" t="str">
        <f>Database!E3</f>
        <v>S2020</v>
      </c>
      <c r="E7" s="98"/>
      <c r="F7" s="99"/>
      <c r="G7" s="100"/>
      <c r="H7" s="98"/>
      <c r="I7" s="101"/>
      <c r="J7" s="102"/>
      <c r="K7" s="98"/>
      <c r="L7" s="101"/>
      <c r="M7" s="102"/>
      <c r="N7" s="98"/>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row>
    <row r="8" spans="1:250">
      <c r="A8" s="103"/>
      <c r="B8" s="104"/>
      <c r="C8" s="104"/>
      <c r="D8" s="107"/>
      <c r="E8" s="98"/>
      <c r="F8" s="99"/>
      <c r="G8" s="100"/>
      <c r="H8" s="98"/>
      <c r="I8" s="101"/>
      <c r="J8" s="102"/>
      <c r="K8" s="98"/>
      <c r="L8" s="101"/>
      <c r="M8" s="102"/>
      <c r="N8" s="98"/>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row>
    <row r="9" spans="1:250">
      <c r="A9" s="108" t="str">
        <f>Database!B5</f>
        <v>Power Supply 1</v>
      </c>
      <c r="B9" s="90"/>
      <c r="C9" s="90"/>
      <c r="D9" s="109"/>
      <c r="E9" s="98"/>
      <c r="F9" s="99"/>
      <c r="G9" s="100"/>
      <c r="H9" s="98"/>
      <c r="I9" s="101"/>
      <c r="J9" s="102"/>
      <c r="K9" s="98"/>
      <c r="L9" s="101"/>
      <c r="M9" s="102"/>
      <c r="N9" s="98"/>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row>
    <row r="10" spans="1:250">
      <c r="A10" s="103" t="str">
        <f ca="1">Database!E6</f>
        <v>24-48 Vdc</v>
      </c>
      <c r="B10" s="104"/>
      <c r="C10" s="104"/>
      <c r="D10" s="107"/>
      <c r="E10" s="110">
        <f ca="1">Database!F6</f>
        <v>1</v>
      </c>
      <c r="F10" s="99"/>
      <c r="G10" s="100"/>
      <c r="H10" s="98"/>
      <c r="I10" s="101"/>
      <c r="J10" s="102"/>
      <c r="K10" s="98"/>
      <c r="L10" s="101"/>
      <c r="M10" s="102"/>
      <c r="N10" s="98"/>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row>
    <row r="11" spans="1:250">
      <c r="A11" s="103" t="str">
        <f ca="1">Database!E7</f>
        <v>100-250 Vdc / 110-240 Vac</v>
      </c>
      <c r="B11" s="104"/>
      <c r="C11" s="104"/>
      <c r="D11" s="107"/>
      <c r="E11" s="110">
        <f ca="1">Database!F7</f>
        <v>3</v>
      </c>
      <c r="F11" s="99"/>
      <c r="G11" s="100"/>
      <c r="H11" s="98"/>
      <c r="I11" s="101"/>
      <c r="J11" s="102"/>
      <c r="K11" s="98"/>
      <c r="L11" s="101"/>
      <c r="M11" s="102"/>
      <c r="N11" s="98"/>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row>
    <row r="12" spans="1:250">
      <c r="A12" s="103"/>
      <c r="B12" s="104"/>
      <c r="C12" s="104"/>
      <c r="D12" s="107"/>
      <c r="E12" s="97"/>
      <c r="F12" s="99"/>
      <c r="G12" s="100"/>
      <c r="H12" s="98"/>
      <c r="I12" s="101"/>
      <c r="J12" s="102"/>
      <c r="K12" s="98"/>
      <c r="L12" s="101"/>
      <c r="M12" s="102"/>
      <c r="N12" s="98"/>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row>
    <row r="13" spans="1:250">
      <c r="A13" s="108" t="str">
        <f>Database!B9</f>
        <v>Power Supply 2</v>
      </c>
      <c r="B13" s="90"/>
      <c r="C13" s="90"/>
      <c r="D13" s="109"/>
      <c r="E13" s="96"/>
      <c r="F13" s="99"/>
      <c r="G13" s="100"/>
      <c r="H13" s="98"/>
      <c r="I13" s="101"/>
      <c r="J13" s="102"/>
      <c r="K13" s="98"/>
      <c r="L13" s="101"/>
      <c r="M13" s="102"/>
      <c r="N13" s="98"/>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row>
    <row r="14" spans="1:250">
      <c r="A14" s="103" t="str">
        <f ca="1">Database!E10</f>
        <v>24-48 Vdc</v>
      </c>
      <c r="B14" s="104"/>
      <c r="C14" s="104"/>
      <c r="D14" s="107"/>
      <c r="E14" s="97"/>
      <c r="F14" s="110">
        <f ca="1">Database!F10</f>
        <v>1</v>
      </c>
      <c r="G14" s="100"/>
      <c r="H14" s="98"/>
      <c r="I14" s="101"/>
      <c r="J14" s="102"/>
      <c r="K14" s="98"/>
      <c r="L14" s="101"/>
      <c r="M14" s="102"/>
      <c r="N14" s="98"/>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row>
    <row r="15" spans="1:250">
      <c r="A15" s="103" t="str">
        <f ca="1">Database!E11</f>
        <v>100-250 Vdc / 110-240 Vac</v>
      </c>
      <c r="B15" s="104"/>
      <c r="C15" s="104"/>
      <c r="D15" s="107"/>
      <c r="E15" s="97"/>
      <c r="F15" s="110">
        <f ca="1">Database!F11</f>
        <v>3</v>
      </c>
      <c r="G15" s="100"/>
      <c r="H15" s="98"/>
      <c r="I15" s="101"/>
      <c r="J15" s="102"/>
      <c r="K15" s="98"/>
      <c r="L15" s="101"/>
      <c r="M15" s="102"/>
      <c r="N15" s="98"/>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row>
    <row r="16" spans="1:250">
      <c r="A16" s="103" t="str">
        <f ca="1">Database!E12</f>
        <v>Not installed</v>
      </c>
      <c r="B16" s="104"/>
      <c r="C16" s="104"/>
      <c r="D16" s="107"/>
      <c r="E16" s="97"/>
      <c r="F16" s="110" t="str">
        <f ca="1">Database!F12</f>
        <v>X</v>
      </c>
      <c r="G16" s="100"/>
      <c r="H16" s="98"/>
      <c r="I16" s="101"/>
      <c r="J16" s="102"/>
      <c r="K16" s="98"/>
      <c r="L16" s="101"/>
      <c r="M16" s="102"/>
      <c r="N16" s="98"/>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row>
    <row r="17" spans="1:250">
      <c r="A17" s="103"/>
      <c r="B17" s="104"/>
      <c r="C17" s="104"/>
      <c r="D17" s="107"/>
      <c r="E17" s="97"/>
      <c r="F17" s="97"/>
      <c r="G17" s="100"/>
      <c r="H17" s="98"/>
      <c r="I17" s="101"/>
      <c r="J17" s="102"/>
      <c r="K17" s="98"/>
      <c r="L17" s="101"/>
      <c r="M17" s="102"/>
      <c r="N17" s="98"/>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row>
    <row r="18" spans="1:250">
      <c r="A18" s="108" t="str">
        <f>Database!B14</f>
        <v>Mounting Options</v>
      </c>
      <c r="B18" s="90"/>
      <c r="C18" s="90"/>
      <c r="D18" s="109"/>
      <c r="E18" s="96"/>
      <c r="F18" s="96"/>
      <c r="G18" s="100"/>
      <c r="H18" s="98"/>
      <c r="I18" s="101"/>
      <c r="J18" s="102"/>
      <c r="K18" s="98"/>
      <c r="L18" s="101"/>
      <c r="M18" s="102"/>
      <c r="N18" s="98"/>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row>
    <row r="19" spans="1:250">
      <c r="A19" s="103" t="str">
        <f ca="1">Database!E15</f>
        <v>19” Rack Mount / Rear Mount</v>
      </c>
      <c r="B19" s="104"/>
      <c r="C19" s="104"/>
      <c r="D19" s="107"/>
      <c r="E19" s="97"/>
      <c r="F19" s="97"/>
      <c r="G19" s="110" t="str">
        <f ca="1">Database!F15</f>
        <v>P</v>
      </c>
      <c r="H19" s="98"/>
      <c r="I19" s="101"/>
      <c r="J19" s="102"/>
      <c r="K19" s="98"/>
      <c r="L19" s="101"/>
      <c r="M19" s="102"/>
      <c r="N19" s="98"/>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row>
    <row r="20" spans="1:250">
      <c r="A20" s="103"/>
      <c r="B20" s="104"/>
      <c r="C20" s="104"/>
      <c r="D20" s="107"/>
      <c r="E20" s="97"/>
      <c r="F20" s="97"/>
      <c r="G20" s="97"/>
      <c r="H20" s="98"/>
      <c r="I20" s="101"/>
      <c r="J20" s="102"/>
      <c r="K20" s="98"/>
      <c r="L20" s="101"/>
      <c r="M20" s="102"/>
      <c r="N20" s="98"/>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row>
    <row r="21" spans="1:250">
      <c r="A21" s="108" t="str">
        <f>Database!B18</f>
        <v>Interface Module 1</v>
      </c>
      <c r="B21" s="90"/>
      <c r="C21" s="90"/>
      <c r="D21" s="109"/>
      <c r="E21" s="96"/>
      <c r="F21" s="96"/>
      <c r="G21" s="96"/>
      <c r="H21" s="98"/>
      <c r="I21" s="101"/>
      <c r="J21" s="102"/>
      <c r="K21" s="98"/>
      <c r="L21" s="101"/>
      <c r="M21" s="102"/>
      <c r="N21" s="98"/>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row>
    <row r="22" spans="1:250">
      <c r="A22" s="103" t="str">
        <f ca="1">Database!E19</f>
        <v>Four 1 Gbps RJ45 copper 10/100BASE-TX/1000BASE-T Ethernet ports</v>
      </c>
      <c r="B22" s="104"/>
      <c r="C22" s="104"/>
      <c r="D22" s="107"/>
      <c r="E22" s="97"/>
      <c r="F22" s="97"/>
      <c r="G22" s="97"/>
      <c r="H22" s="110" t="str">
        <f ca="1">Database!F19</f>
        <v>A</v>
      </c>
      <c r="I22" s="101"/>
      <c r="J22" s="102"/>
      <c r="K22" s="98"/>
      <c r="L22" s="101"/>
      <c r="M22" s="102"/>
      <c r="N22" s="98"/>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row>
    <row r="23" spans="1:250">
      <c r="A23" s="103" t="str">
        <f ca="1">Database!E20</f>
        <v>Four slots for SFP transceivers</v>
      </c>
      <c r="B23" s="104"/>
      <c r="C23" s="104"/>
      <c r="D23" s="107"/>
      <c r="E23" s="97"/>
      <c r="F23" s="97"/>
      <c r="G23" s="97"/>
      <c r="H23" s="110" t="str">
        <f ca="1">Database!F20</f>
        <v>B</v>
      </c>
      <c r="I23" s="101"/>
      <c r="J23" s="102"/>
      <c r="K23" s="98"/>
      <c r="L23" s="101"/>
      <c r="M23" s="102"/>
      <c r="N23" s="98"/>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row>
    <row r="24" spans="1:250">
      <c r="A24" s="103" t="str">
        <f ca="1">Database!E21</f>
        <v>Four 1 Gbps LC-type connector multi mode fiber 1000BASE-SX Ethernet for up to 0.5 km</v>
      </c>
      <c r="B24" s="104"/>
      <c r="C24" s="104"/>
      <c r="D24" s="107"/>
      <c r="E24" s="97"/>
      <c r="F24" s="97"/>
      <c r="G24" s="97"/>
      <c r="H24" s="110" t="str">
        <f ca="1">Database!F21</f>
        <v>C</v>
      </c>
      <c r="I24" s="101"/>
      <c r="J24" s="102"/>
      <c r="K24" s="98"/>
      <c r="L24" s="101"/>
      <c r="M24" s="102"/>
      <c r="N24" s="98"/>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row>
    <row r="25" spans="1:250">
      <c r="A25" s="103" t="str">
        <f ca="1">Database!E22</f>
        <v>Four 1 Gbps LC-type connector single mode fiber 1000BASE-LX Ethernet for up to 10 km</v>
      </c>
      <c r="B25" s="104"/>
      <c r="C25" s="104"/>
      <c r="D25" s="107"/>
      <c r="E25" s="97"/>
      <c r="F25" s="97"/>
      <c r="G25" s="97"/>
      <c r="H25" s="110" t="str">
        <f ca="1">Database!F22</f>
        <v>D</v>
      </c>
      <c r="I25" s="101"/>
      <c r="J25" s="102"/>
      <c r="K25" s="98"/>
      <c r="L25" s="101"/>
      <c r="M25" s="102"/>
      <c r="N25" s="98"/>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row>
    <row r="26" spans="1:250">
      <c r="A26" s="103" t="str">
        <f ca="1">Database!E23</f>
        <v>Four 1 Gbps LC-type connector single mode fiber 1000BASE-ZX Ethernet for up to 40 km</v>
      </c>
      <c r="B26" s="104"/>
      <c r="C26" s="104"/>
      <c r="D26" s="107"/>
      <c r="E26" s="97"/>
      <c r="F26" s="97"/>
      <c r="G26" s="97"/>
      <c r="H26" s="110" t="str">
        <f ca="1">Database!F23</f>
        <v>E</v>
      </c>
      <c r="I26" s="101"/>
      <c r="J26" s="102"/>
      <c r="K26" s="98"/>
      <c r="L26" s="101"/>
      <c r="M26" s="102"/>
      <c r="N26" s="98"/>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row>
    <row r="27" spans="1:250">
      <c r="A27" s="103" t="str">
        <f ca="1">Database!E24</f>
        <v>Four 1 Gbps LC-type connector single mode fiber 1000BASE-ZX Ethernet for up to 80 km</v>
      </c>
      <c r="B27" s="104"/>
      <c r="C27" s="104"/>
      <c r="D27" s="107"/>
      <c r="E27" s="97"/>
      <c r="F27" s="97"/>
      <c r="G27" s="97"/>
      <c r="H27" s="110" t="str">
        <f ca="1">Database!F24</f>
        <v>F</v>
      </c>
      <c r="I27" s="101"/>
      <c r="J27" s="102"/>
      <c r="K27" s="98"/>
      <c r="L27" s="101"/>
      <c r="M27" s="102"/>
      <c r="N27" s="98"/>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row>
    <row r="28" spans="1:250">
      <c r="A28" s="103" t="str">
        <f ca="1">Database!E25</f>
        <v>Four 100 Mbps LC-type connector multi mode fiber 100BASE-FX Ethernet for up to 2 km</v>
      </c>
      <c r="B28" s="104"/>
      <c r="C28" s="104"/>
      <c r="D28" s="107"/>
      <c r="E28" s="97"/>
      <c r="F28" s="97"/>
      <c r="G28" s="97"/>
      <c r="H28" s="110" t="str">
        <f ca="1">Database!F25</f>
        <v>H</v>
      </c>
      <c r="I28" s="101"/>
      <c r="J28" s="102"/>
      <c r="K28" s="98"/>
      <c r="L28" s="101"/>
      <c r="M28" s="102"/>
      <c r="N28" s="98"/>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row>
    <row r="29" spans="1:250">
      <c r="A29" s="103" t="str">
        <f ca="1">Database!E26</f>
        <v>Four RJ45 copper 10/100BASE-TX</v>
      </c>
      <c r="B29" s="104"/>
      <c r="C29" s="104"/>
      <c r="D29" s="107"/>
      <c r="E29" s="97"/>
      <c r="F29" s="97"/>
      <c r="G29" s="97"/>
      <c r="H29" s="110" t="str">
        <f ca="1">Database!F26</f>
        <v>I</v>
      </c>
      <c r="I29" s="101"/>
      <c r="J29" s="102"/>
      <c r="K29" s="98"/>
      <c r="L29" s="101"/>
      <c r="M29" s="102"/>
      <c r="N29" s="98"/>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row>
    <row r="30" spans="1:250">
      <c r="A30" s="103" t="str">
        <f ca="1">Database!E27</f>
        <v>Two 1 Gbps LC-type connector multi mode fiber 1000BASE-SX Ethernet for up to 0.5 km + Two 100 Mbps LC-type connector multi mode fiber 100BASE-FX Ethernet for up to 2 km</v>
      </c>
      <c r="B30" s="104"/>
      <c r="C30" s="104"/>
      <c r="D30" s="107"/>
      <c r="E30" s="97"/>
      <c r="F30" s="97"/>
      <c r="G30" s="97"/>
      <c r="H30" s="110" t="str">
        <f ca="1">Database!F27</f>
        <v>M</v>
      </c>
      <c r="I30" s="101"/>
      <c r="J30" s="102"/>
      <c r="K30" s="98"/>
      <c r="L30" s="101"/>
      <c r="M30" s="102"/>
      <c r="N30" s="98"/>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row>
    <row r="31" spans="1:250">
      <c r="A31" s="103" t="str">
        <f ca="1">Database!E28</f>
        <v>Four 1 Gbps RJ45 SFP Transceivers 10/100BASE-TX/1000BASE-T Ethernet ports (Not CE marked) (Withdraw)</v>
      </c>
      <c r="B31" s="104"/>
      <c r="C31" s="104"/>
      <c r="D31" s="107"/>
      <c r="E31" s="97"/>
      <c r="F31" s="97"/>
      <c r="G31" s="97"/>
      <c r="H31" s="110" t="str">
        <f ca="1">Database!F28</f>
        <v>J</v>
      </c>
      <c r="I31" s="236"/>
      <c r="J31" s="237"/>
      <c r="K31" s="98"/>
      <c r="L31" s="236"/>
      <c r="M31" s="237"/>
      <c r="N31" s="98"/>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106"/>
      <c r="FC31" s="106"/>
      <c r="FD31" s="106"/>
      <c r="FE31" s="106"/>
      <c r="FF31" s="106"/>
      <c r="FG31" s="106"/>
      <c r="FH31" s="106"/>
      <c r="FI31" s="106"/>
      <c r="FJ31" s="106"/>
      <c r="FK31" s="106"/>
      <c r="FL31" s="106"/>
      <c r="FM31" s="106"/>
      <c r="FN31" s="106"/>
      <c r="FO31" s="106"/>
      <c r="FP31" s="106"/>
      <c r="FQ31" s="106"/>
      <c r="FR31" s="106"/>
      <c r="FS31" s="106"/>
      <c r="FT31" s="106"/>
      <c r="FU31" s="106"/>
      <c r="FV31" s="106"/>
      <c r="FW31" s="106"/>
      <c r="FX31" s="106"/>
      <c r="FY31" s="106"/>
      <c r="FZ31" s="106"/>
      <c r="GA31" s="106"/>
      <c r="GB31" s="106"/>
      <c r="GC31" s="106"/>
      <c r="GD31" s="106"/>
      <c r="GE31" s="106"/>
      <c r="GF31" s="106"/>
      <c r="GG31" s="106"/>
      <c r="GH31" s="106"/>
      <c r="GI31" s="106"/>
      <c r="GJ31" s="106"/>
      <c r="GK31" s="106"/>
      <c r="GL31" s="106"/>
      <c r="GM31" s="106"/>
      <c r="GN31" s="106"/>
      <c r="GO31" s="106"/>
      <c r="GP31" s="106"/>
      <c r="GQ31" s="106"/>
      <c r="GR31" s="106"/>
      <c r="GS31" s="106"/>
      <c r="GT31" s="106"/>
      <c r="GU31" s="106"/>
      <c r="GV31" s="106"/>
      <c r="GW31" s="106"/>
      <c r="GX31" s="106"/>
      <c r="GY31" s="106"/>
      <c r="GZ31" s="106"/>
      <c r="HA31" s="106"/>
      <c r="HB31" s="106"/>
      <c r="HC31" s="106"/>
      <c r="HD31" s="106"/>
      <c r="HE31" s="106"/>
      <c r="HF31" s="106"/>
      <c r="HG31" s="106"/>
      <c r="HH31" s="106"/>
      <c r="HI31" s="106"/>
      <c r="HJ31" s="106"/>
      <c r="HK31" s="106"/>
      <c r="HL31" s="106"/>
      <c r="HM31" s="106"/>
      <c r="HN31" s="106"/>
      <c r="HO31" s="106"/>
      <c r="HP31" s="106"/>
      <c r="HQ31" s="106"/>
      <c r="HR31" s="106"/>
      <c r="HS31" s="106"/>
      <c r="HT31" s="106"/>
      <c r="HU31" s="106"/>
      <c r="HV31" s="106"/>
      <c r="HW31" s="106"/>
      <c r="HX31" s="106"/>
      <c r="HY31" s="106"/>
      <c r="HZ31" s="106"/>
      <c r="IA31" s="106"/>
      <c r="IB31" s="106"/>
      <c r="IC31" s="106"/>
      <c r="ID31" s="106"/>
      <c r="IE31" s="106"/>
      <c r="IF31" s="106"/>
      <c r="IG31" s="106"/>
      <c r="IH31" s="106"/>
      <c r="II31" s="106"/>
      <c r="IJ31" s="106"/>
      <c r="IK31" s="106"/>
      <c r="IL31" s="106"/>
      <c r="IM31" s="106"/>
      <c r="IN31" s="106"/>
      <c r="IO31" s="106"/>
      <c r="IP31" s="106"/>
    </row>
    <row r="32" spans="1:250">
      <c r="A32" s="103" t="str">
        <f ca="1">Database!E29</f>
        <v>Two 1 Gbps RJ45 SFP Transceivers 10/100BASE-TX/1000BASE-T Ethernet ports + Two 1 Gbps LC-type connector multi mode fiber 1000BASE-SX Ethernet for up to 0.5 km  (Withdraw)</v>
      </c>
      <c r="B32" s="104"/>
      <c r="C32" s="104"/>
      <c r="D32" s="107"/>
      <c r="E32" s="97"/>
      <c r="F32" s="97"/>
      <c r="G32" s="97"/>
      <c r="H32" s="110" t="str">
        <f ca="1">Database!F29</f>
        <v>K</v>
      </c>
      <c r="I32" s="236"/>
      <c r="J32" s="237"/>
      <c r="K32" s="98"/>
      <c r="L32" s="236"/>
      <c r="M32" s="237"/>
      <c r="N32" s="98"/>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106"/>
      <c r="FC32" s="106"/>
      <c r="FD32" s="106"/>
      <c r="FE32" s="106"/>
      <c r="FF32" s="106"/>
      <c r="FG32" s="106"/>
      <c r="FH32" s="106"/>
      <c r="FI32" s="106"/>
      <c r="FJ32" s="106"/>
      <c r="FK32" s="106"/>
      <c r="FL32" s="106"/>
      <c r="FM32" s="106"/>
      <c r="FN32" s="106"/>
      <c r="FO32" s="106"/>
      <c r="FP32" s="106"/>
      <c r="FQ32" s="106"/>
      <c r="FR32" s="106"/>
      <c r="FS32" s="106"/>
      <c r="FT32" s="106"/>
      <c r="FU32" s="106"/>
      <c r="FV32" s="106"/>
      <c r="FW32" s="106"/>
      <c r="FX32" s="106"/>
      <c r="FY32" s="106"/>
      <c r="FZ32" s="106"/>
      <c r="GA32" s="106"/>
      <c r="GB32" s="106"/>
      <c r="GC32" s="106"/>
      <c r="GD32" s="106"/>
      <c r="GE32" s="106"/>
      <c r="GF32" s="106"/>
      <c r="GG32" s="106"/>
      <c r="GH32" s="106"/>
      <c r="GI32" s="106"/>
      <c r="GJ32" s="106"/>
      <c r="GK32" s="106"/>
      <c r="GL32" s="106"/>
      <c r="GM32" s="106"/>
      <c r="GN32" s="106"/>
      <c r="GO32" s="106"/>
      <c r="GP32" s="106"/>
      <c r="GQ32" s="106"/>
      <c r="GR32" s="106"/>
      <c r="GS32" s="106"/>
      <c r="GT32" s="106"/>
      <c r="GU32" s="106"/>
      <c r="GV32" s="106"/>
      <c r="GW32" s="106"/>
      <c r="GX32" s="106"/>
      <c r="GY32" s="106"/>
      <c r="GZ32" s="106"/>
      <c r="HA32" s="106"/>
      <c r="HB32" s="106"/>
      <c r="HC32" s="106"/>
      <c r="HD32" s="106"/>
      <c r="HE32" s="106"/>
      <c r="HF32" s="106"/>
      <c r="HG32" s="106"/>
      <c r="HH32" s="106"/>
      <c r="HI32" s="106"/>
      <c r="HJ32" s="106"/>
      <c r="HK32" s="106"/>
      <c r="HL32" s="106"/>
      <c r="HM32" s="106"/>
      <c r="HN32" s="106"/>
      <c r="HO32" s="106"/>
      <c r="HP32" s="106"/>
      <c r="HQ32" s="106"/>
      <c r="HR32" s="106"/>
      <c r="HS32" s="106"/>
      <c r="HT32" s="106"/>
      <c r="HU32" s="106"/>
      <c r="HV32" s="106"/>
      <c r="HW32" s="106"/>
      <c r="HX32" s="106"/>
      <c r="HY32" s="106"/>
      <c r="HZ32" s="106"/>
      <c r="IA32" s="106"/>
      <c r="IB32" s="106"/>
      <c r="IC32" s="106"/>
      <c r="ID32" s="106"/>
      <c r="IE32" s="106"/>
      <c r="IF32" s="106"/>
      <c r="IG32" s="106"/>
      <c r="IH32" s="106"/>
      <c r="II32" s="106"/>
      <c r="IJ32" s="106"/>
      <c r="IK32" s="106"/>
      <c r="IL32" s="106"/>
      <c r="IM32" s="106"/>
      <c r="IN32" s="106"/>
      <c r="IO32" s="106"/>
      <c r="IP32" s="106"/>
    </row>
    <row r="33" spans="1:250">
      <c r="A33" s="103" t="str">
        <f ca="1">Database!E30</f>
        <v>Two 1 Gbps RJ45 SFP Transceivers 10/100BASE-TX/1000BASE-T Ethernet ports + Two 100 Mbps LC-type connector multi mode fiber 100BASE-FX Ethernet for up to 2 km (Withdraw)</v>
      </c>
      <c r="B33" s="104"/>
      <c r="C33" s="104"/>
      <c r="D33" s="107"/>
      <c r="E33" s="97"/>
      <c r="F33" s="97"/>
      <c r="G33" s="97"/>
      <c r="H33" s="110" t="str">
        <f ca="1">Database!F30</f>
        <v>L</v>
      </c>
      <c r="I33" s="236"/>
      <c r="J33" s="237"/>
      <c r="K33" s="98"/>
      <c r="L33" s="236"/>
      <c r="M33" s="237"/>
      <c r="N33" s="98"/>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c r="IO33" s="106"/>
      <c r="IP33" s="106"/>
    </row>
    <row r="34" spans="1:250">
      <c r="A34" s="103" t="str">
        <f ca="1">Database!E31</f>
        <v>Not installed (Withdraw)</v>
      </c>
      <c r="B34" s="104"/>
      <c r="C34" s="104"/>
      <c r="D34" s="107"/>
      <c r="E34" s="97"/>
      <c r="F34" s="97"/>
      <c r="G34" s="97"/>
      <c r="H34" s="110" t="str">
        <f ca="1">Database!F31</f>
        <v>X</v>
      </c>
      <c r="I34" s="236"/>
      <c r="J34" s="237"/>
      <c r="K34" s="98"/>
      <c r="L34" s="236"/>
      <c r="M34" s="237"/>
      <c r="N34" s="98"/>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c r="GS34" s="106"/>
      <c r="GT34" s="106"/>
      <c r="GU34" s="106"/>
      <c r="GV34" s="106"/>
      <c r="GW34" s="106"/>
      <c r="GX34" s="106"/>
      <c r="GY34" s="106"/>
      <c r="GZ34" s="106"/>
      <c r="HA34" s="106"/>
      <c r="HB34" s="106"/>
      <c r="HC34" s="106"/>
      <c r="HD34" s="106"/>
      <c r="HE34" s="106"/>
      <c r="HF34" s="106"/>
      <c r="HG34" s="106"/>
      <c r="HH34" s="106"/>
      <c r="HI34" s="106"/>
      <c r="HJ34" s="106"/>
      <c r="HK34" s="106"/>
      <c r="HL34" s="106"/>
      <c r="HM34" s="106"/>
      <c r="HN34" s="106"/>
      <c r="HO34" s="106"/>
      <c r="HP34" s="106"/>
      <c r="HQ34" s="106"/>
      <c r="HR34" s="106"/>
      <c r="HS34" s="106"/>
      <c r="HT34" s="106"/>
      <c r="HU34" s="106"/>
      <c r="HV34" s="106"/>
      <c r="HW34" s="106"/>
      <c r="HX34" s="106"/>
      <c r="HY34" s="106"/>
      <c r="HZ34" s="106"/>
      <c r="IA34" s="106"/>
      <c r="IB34" s="106"/>
      <c r="IC34" s="106"/>
      <c r="ID34" s="106"/>
      <c r="IE34" s="106"/>
      <c r="IF34" s="106"/>
      <c r="IG34" s="106"/>
      <c r="IH34" s="106"/>
      <c r="II34" s="106"/>
      <c r="IJ34" s="106"/>
      <c r="IK34" s="106"/>
      <c r="IL34" s="106"/>
      <c r="IM34" s="106"/>
      <c r="IN34" s="106"/>
      <c r="IO34" s="106"/>
      <c r="IP34" s="106"/>
    </row>
    <row r="35" spans="1:250">
      <c r="A35" s="103"/>
      <c r="B35" s="104"/>
      <c r="C35" s="104"/>
      <c r="D35" s="107"/>
      <c r="E35" s="97"/>
      <c r="F35" s="97"/>
      <c r="G35" s="97"/>
      <c r="H35" s="97"/>
      <c r="I35" s="101"/>
      <c r="J35" s="102"/>
      <c r="K35" s="98"/>
      <c r="L35" s="101"/>
      <c r="M35" s="102"/>
      <c r="N35" s="98"/>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c r="GS35" s="106"/>
      <c r="GT35" s="106"/>
      <c r="GU35" s="106"/>
      <c r="GV35" s="106"/>
      <c r="GW35" s="106"/>
      <c r="GX35" s="106"/>
      <c r="GY35" s="106"/>
      <c r="GZ35" s="106"/>
      <c r="HA35" s="106"/>
      <c r="HB35" s="106"/>
      <c r="HC35" s="106"/>
      <c r="HD35" s="106"/>
      <c r="HE35" s="106"/>
      <c r="HF35" s="106"/>
      <c r="HG35" s="106"/>
      <c r="HH35" s="106"/>
      <c r="HI35" s="106"/>
      <c r="HJ35" s="106"/>
      <c r="HK35" s="106"/>
      <c r="HL35" s="106"/>
      <c r="HM35" s="106"/>
      <c r="HN35" s="106"/>
      <c r="HO35" s="106"/>
      <c r="HP35" s="106"/>
      <c r="HQ35" s="106"/>
      <c r="HR35" s="106"/>
      <c r="HS35" s="106"/>
      <c r="HT35" s="106"/>
      <c r="HU35" s="106"/>
      <c r="HV35" s="106"/>
      <c r="HW35" s="106"/>
      <c r="HX35" s="106"/>
      <c r="HY35" s="106"/>
      <c r="HZ35" s="106"/>
      <c r="IA35" s="106"/>
      <c r="IB35" s="106"/>
      <c r="IC35" s="106"/>
      <c r="ID35" s="106"/>
      <c r="IE35" s="106"/>
      <c r="IF35" s="106"/>
      <c r="IG35" s="106"/>
      <c r="IH35" s="106"/>
      <c r="II35" s="106"/>
      <c r="IJ35" s="106"/>
      <c r="IK35" s="106"/>
      <c r="IL35" s="106"/>
      <c r="IM35" s="106"/>
      <c r="IN35" s="106"/>
      <c r="IO35" s="106"/>
      <c r="IP35" s="106"/>
    </row>
    <row r="36" spans="1:250">
      <c r="A36" s="108" t="str">
        <f>Database!B33</f>
        <v>Interface Module 2</v>
      </c>
      <c r="B36" s="90"/>
      <c r="C36" s="90"/>
      <c r="D36" s="109"/>
      <c r="E36" s="96"/>
      <c r="F36" s="96"/>
      <c r="G36" s="96"/>
      <c r="H36" s="96"/>
      <c r="I36" s="101"/>
      <c r="J36" s="102"/>
      <c r="K36" s="98"/>
      <c r="L36" s="101"/>
      <c r="M36" s="102"/>
      <c r="N36" s="98"/>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c r="GS36" s="106"/>
      <c r="GT36" s="106"/>
      <c r="GU36" s="106"/>
      <c r="GV36" s="106"/>
      <c r="GW36" s="106"/>
      <c r="GX36" s="106"/>
      <c r="GY36" s="106"/>
      <c r="GZ36" s="106"/>
      <c r="HA36" s="106"/>
      <c r="HB36" s="106"/>
      <c r="HC36" s="106"/>
      <c r="HD36" s="106"/>
      <c r="HE36" s="106"/>
      <c r="HF36" s="106"/>
      <c r="HG36" s="106"/>
      <c r="HH36" s="106"/>
      <c r="HI36" s="106"/>
      <c r="HJ36" s="106"/>
      <c r="HK36" s="106"/>
      <c r="HL36" s="106"/>
      <c r="HM36" s="106"/>
      <c r="HN36" s="106"/>
      <c r="HO36" s="106"/>
      <c r="HP36" s="106"/>
      <c r="HQ36" s="106"/>
      <c r="HR36" s="106"/>
      <c r="HS36" s="106"/>
      <c r="HT36" s="106"/>
      <c r="HU36" s="106"/>
      <c r="HV36" s="106"/>
      <c r="HW36" s="106"/>
      <c r="HX36" s="106"/>
      <c r="HY36" s="106"/>
      <c r="HZ36" s="106"/>
      <c r="IA36" s="106"/>
      <c r="IB36" s="106"/>
      <c r="IC36" s="106"/>
      <c r="ID36" s="106"/>
      <c r="IE36" s="106"/>
      <c r="IF36" s="106"/>
      <c r="IG36" s="106"/>
      <c r="IH36" s="106"/>
      <c r="II36" s="106"/>
      <c r="IJ36" s="106"/>
      <c r="IK36" s="106"/>
      <c r="IL36" s="106"/>
      <c r="IM36" s="106"/>
      <c r="IN36" s="106"/>
      <c r="IO36" s="106"/>
      <c r="IP36" s="106"/>
    </row>
    <row r="37" spans="1:250">
      <c r="A37" s="103" t="str">
        <f ca="1">Database!E34</f>
        <v>Four slots for SFP transceivers</v>
      </c>
      <c r="B37" s="104"/>
      <c r="C37" s="104"/>
      <c r="D37" s="107"/>
      <c r="E37" s="97"/>
      <c r="F37" s="97"/>
      <c r="G37" s="97"/>
      <c r="H37" s="97"/>
      <c r="I37" s="110" t="str">
        <f ca="1">Database!F34</f>
        <v>B</v>
      </c>
      <c r="J37" s="102"/>
      <c r="K37" s="98"/>
      <c r="L37" s="101"/>
      <c r="M37" s="102"/>
      <c r="N37" s="98"/>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c r="FK37" s="106"/>
      <c r="FL37" s="106"/>
      <c r="FM37" s="106"/>
      <c r="FN37" s="106"/>
      <c r="FO37" s="106"/>
      <c r="FP37" s="106"/>
      <c r="FQ37" s="106"/>
      <c r="FR37" s="106"/>
      <c r="FS37" s="106"/>
      <c r="FT37" s="106"/>
      <c r="FU37" s="106"/>
      <c r="FV37" s="106"/>
      <c r="FW37" s="106"/>
      <c r="FX37" s="106"/>
      <c r="FY37" s="106"/>
      <c r="FZ37" s="106"/>
      <c r="GA37" s="106"/>
      <c r="GB37" s="106"/>
      <c r="GC37" s="106"/>
      <c r="GD37" s="106"/>
      <c r="GE37" s="106"/>
      <c r="GF37" s="106"/>
      <c r="GG37" s="106"/>
      <c r="GH37" s="106"/>
      <c r="GI37" s="106"/>
      <c r="GJ37" s="106"/>
      <c r="GK37" s="106"/>
      <c r="GL37" s="106"/>
      <c r="GM37" s="106"/>
      <c r="GN37" s="106"/>
      <c r="GO37" s="106"/>
      <c r="GP37" s="106"/>
      <c r="GQ37" s="106"/>
      <c r="GR37" s="106"/>
      <c r="GS37" s="106"/>
      <c r="GT37" s="106"/>
      <c r="GU37" s="106"/>
      <c r="GV37" s="106"/>
      <c r="GW37" s="106"/>
      <c r="GX37" s="106"/>
      <c r="GY37" s="106"/>
      <c r="GZ37" s="106"/>
      <c r="HA37" s="106"/>
      <c r="HB37" s="106"/>
      <c r="HC37" s="106"/>
      <c r="HD37" s="106"/>
      <c r="HE37" s="106"/>
      <c r="HF37" s="106"/>
      <c r="HG37" s="106"/>
      <c r="HH37" s="106"/>
      <c r="HI37" s="106"/>
      <c r="HJ37" s="106"/>
      <c r="HK37" s="106"/>
      <c r="HL37" s="106"/>
      <c r="HM37" s="106"/>
      <c r="HN37" s="106"/>
      <c r="HO37" s="106"/>
      <c r="HP37" s="106"/>
      <c r="HQ37" s="106"/>
      <c r="HR37" s="106"/>
      <c r="HS37" s="106"/>
      <c r="HT37" s="106"/>
      <c r="HU37" s="106"/>
      <c r="HV37" s="106"/>
      <c r="HW37" s="106"/>
      <c r="HX37" s="106"/>
      <c r="HY37" s="106"/>
      <c r="HZ37" s="106"/>
      <c r="IA37" s="106"/>
      <c r="IB37" s="106"/>
      <c r="IC37" s="106"/>
      <c r="ID37" s="106"/>
      <c r="IE37" s="106"/>
      <c r="IF37" s="106"/>
      <c r="IG37" s="106"/>
      <c r="IH37" s="106"/>
      <c r="II37" s="106"/>
      <c r="IJ37" s="106"/>
      <c r="IK37" s="106"/>
      <c r="IL37" s="106"/>
      <c r="IM37" s="106"/>
      <c r="IN37" s="106"/>
      <c r="IO37" s="106"/>
      <c r="IP37" s="106"/>
    </row>
    <row r="38" spans="1:250">
      <c r="A38" s="103" t="str">
        <f ca="1">Database!E35</f>
        <v>Four 100 Mbps LC-type connector multi mode fiber 100BASE-FX Ethernet for up to 2 km</v>
      </c>
      <c r="B38" s="104"/>
      <c r="C38" s="104"/>
      <c r="D38" s="107"/>
      <c r="E38" s="97"/>
      <c r="F38" s="97"/>
      <c r="G38" s="97"/>
      <c r="H38" s="97"/>
      <c r="I38" s="110" t="str">
        <f ca="1">Database!F35</f>
        <v>H</v>
      </c>
      <c r="J38" s="102"/>
      <c r="K38" s="98"/>
      <c r="L38" s="101"/>
      <c r="M38" s="102"/>
      <c r="N38" s="98"/>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c r="GS38" s="106"/>
      <c r="GT38" s="106"/>
      <c r="GU38" s="106"/>
      <c r="GV38" s="106"/>
      <c r="GW38" s="106"/>
      <c r="GX38" s="106"/>
      <c r="GY38" s="106"/>
      <c r="GZ38" s="106"/>
      <c r="HA38" s="106"/>
      <c r="HB38" s="106"/>
      <c r="HC38" s="106"/>
      <c r="HD38" s="106"/>
      <c r="HE38" s="106"/>
      <c r="HF38" s="106"/>
      <c r="HG38" s="106"/>
      <c r="HH38" s="106"/>
      <c r="HI38" s="106"/>
      <c r="HJ38" s="106"/>
      <c r="HK38" s="106"/>
      <c r="HL38" s="106"/>
      <c r="HM38" s="106"/>
      <c r="HN38" s="106"/>
      <c r="HO38" s="106"/>
      <c r="HP38" s="106"/>
      <c r="HQ38" s="106"/>
      <c r="HR38" s="106"/>
      <c r="HS38" s="106"/>
      <c r="HT38" s="106"/>
      <c r="HU38" s="106"/>
      <c r="HV38" s="106"/>
      <c r="HW38" s="106"/>
      <c r="HX38" s="106"/>
      <c r="HY38" s="106"/>
      <c r="HZ38" s="106"/>
      <c r="IA38" s="106"/>
      <c r="IB38" s="106"/>
      <c r="IC38" s="106"/>
      <c r="ID38" s="106"/>
      <c r="IE38" s="106"/>
      <c r="IF38" s="106"/>
      <c r="IG38" s="106"/>
      <c r="IH38" s="106"/>
      <c r="II38" s="106"/>
      <c r="IJ38" s="106"/>
      <c r="IK38" s="106"/>
      <c r="IL38" s="106"/>
      <c r="IM38" s="106"/>
      <c r="IN38" s="106"/>
      <c r="IO38" s="106"/>
      <c r="IP38" s="106"/>
    </row>
    <row r="39" spans="1:250">
      <c r="A39" s="103" t="str">
        <f ca="1">Database!E36</f>
        <v>Four RJ45 copper 10/100BASE-TX</v>
      </c>
      <c r="B39" s="104"/>
      <c r="C39" s="104"/>
      <c r="D39" s="107"/>
      <c r="E39" s="97"/>
      <c r="F39" s="97"/>
      <c r="G39" s="97"/>
      <c r="H39" s="97"/>
      <c r="I39" s="110" t="str">
        <f ca="1">Database!F36</f>
        <v>I</v>
      </c>
      <c r="J39" s="102"/>
      <c r="K39" s="98"/>
      <c r="L39" s="101"/>
      <c r="M39" s="102"/>
      <c r="N39" s="98"/>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c r="FV39" s="106"/>
      <c r="FW39" s="106"/>
      <c r="FX39" s="106"/>
      <c r="FY39" s="106"/>
      <c r="FZ39" s="106"/>
      <c r="GA39" s="106"/>
      <c r="GB39" s="106"/>
      <c r="GC39" s="106"/>
      <c r="GD39" s="106"/>
      <c r="GE39" s="106"/>
      <c r="GF39" s="106"/>
      <c r="GG39" s="106"/>
      <c r="GH39" s="106"/>
      <c r="GI39" s="106"/>
      <c r="GJ39" s="106"/>
      <c r="GK39" s="106"/>
      <c r="GL39" s="106"/>
      <c r="GM39" s="106"/>
      <c r="GN39" s="106"/>
      <c r="GO39" s="106"/>
      <c r="GP39" s="106"/>
      <c r="GQ39" s="106"/>
      <c r="GR39" s="106"/>
      <c r="GS39" s="106"/>
      <c r="GT39" s="106"/>
      <c r="GU39" s="106"/>
      <c r="GV39" s="106"/>
      <c r="GW39" s="106"/>
      <c r="GX39" s="106"/>
      <c r="GY39" s="106"/>
      <c r="GZ39" s="106"/>
      <c r="HA39" s="106"/>
      <c r="HB39" s="106"/>
      <c r="HC39" s="106"/>
      <c r="HD39" s="106"/>
      <c r="HE39" s="106"/>
      <c r="HF39" s="106"/>
      <c r="HG39" s="106"/>
      <c r="HH39" s="106"/>
      <c r="HI39" s="106"/>
      <c r="HJ39" s="106"/>
      <c r="HK39" s="106"/>
      <c r="HL39" s="106"/>
      <c r="HM39" s="106"/>
      <c r="HN39" s="106"/>
      <c r="HO39" s="106"/>
      <c r="HP39" s="106"/>
      <c r="HQ39" s="106"/>
      <c r="HR39" s="106"/>
      <c r="HS39" s="106"/>
      <c r="HT39" s="106"/>
      <c r="HU39" s="106"/>
      <c r="HV39" s="106"/>
      <c r="HW39" s="106"/>
      <c r="HX39" s="106"/>
      <c r="HY39" s="106"/>
      <c r="HZ39" s="106"/>
      <c r="IA39" s="106"/>
      <c r="IB39" s="106"/>
      <c r="IC39" s="106"/>
      <c r="ID39" s="106"/>
      <c r="IE39" s="106"/>
      <c r="IF39" s="106"/>
      <c r="IG39" s="106"/>
      <c r="IH39" s="106"/>
      <c r="II39" s="106"/>
      <c r="IJ39" s="106"/>
      <c r="IK39" s="106"/>
      <c r="IL39" s="106"/>
      <c r="IM39" s="106"/>
      <c r="IN39" s="106"/>
      <c r="IO39" s="106"/>
      <c r="IP39" s="106"/>
    </row>
    <row r="40" spans="1:250">
      <c r="A40" s="103" t="str">
        <f ca="1">Database!E37</f>
        <v>Not installed</v>
      </c>
      <c r="B40" s="104"/>
      <c r="C40" s="104"/>
      <c r="D40" s="107"/>
      <c r="E40" s="97"/>
      <c r="F40" s="97"/>
      <c r="G40" s="97"/>
      <c r="H40" s="97"/>
      <c r="I40" s="110" t="str">
        <f ca="1">Database!F37</f>
        <v>X</v>
      </c>
      <c r="J40" s="102"/>
      <c r="K40" s="98"/>
      <c r="L40" s="101"/>
      <c r="M40" s="102"/>
      <c r="N40" s="98"/>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c r="FK40" s="106"/>
      <c r="FL40" s="106"/>
      <c r="FM40" s="106"/>
      <c r="FN40" s="106"/>
      <c r="FO40" s="106"/>
      <c r="FP40" s="106"/>
      <c r="FQ40" s="106"/>
      <c r="FR40" s="106"/>
      <c r="FS40" s="106"/>
      <c r="FT40" s="106"/>
      <c r="FU40" s="106"/>
      <c r="FV40" s="106"/>
      <c r="FW40" s="106"/>
      <c r="FX40" s="106"/>
      <c r="FY40" s="106"/>
      <c r="FZ40" s="106"/>
      <c r="GA40" s="106"/>
      <c r="GB40" s="106"/>
      <c r="GC40" s="106"/>
      <c r="GD40" s="106"/>
      <c r="GE40" s="106"/>
      <c r="GF40" s="106"/>
      <c r="GG40" s="106"/>
      <c r="GH40" s="106"/>
      <c r="GI40" s="106"/>
      <c r="GJ40" s="106"/>
      <c r="GK40" s="106"/>
      <c r="GL40" s="106"/>
      <c r="GM40" s="106"/>
      <c r="GN40" s="106"/>
      <c r="GO40" s="106"/>
      <c r="GP40" s="106"/>
      <c r="GQ40" s="106"/>
      <c r="GR40" s="106"/>
      <c r="GS40" s="106"/>
      <c r="GT40" s="106"/>
      <c r="GU40" s="106"/>
      <c r="GV40" s="106"/>
      <c r="GW40" s="106"/>
      <c r="GX40" s="106"/>
      <c r="GY40" s="106"/>
      <c r="GZ40" s="106"/>
      <c r="HA40" s="106"/>
      <c r="HB40" s="106"/>
      <c r="HC40" s="106"/>
      <c r="HD40" s="106"/>
      <c r="HE40" s="106"/>
      <c r="HF40" s="106"/>
      <c r="HG40" s="106"/>
      <c r="HH40" s="106"/>
      <c r="HI40" s="106"/>
      <c r="HJ40" s="106"/>
      <c r="HK40" s="106"/>
      <c r="HL40" s="106"/>
      <c r="HM40" s="106"/>
      <c r="HN40" s="106"/>
      <c r="HO40" s="106"/>
      <c r="HP40" s="106"/>
      <c r="HQ40" s="106"/>
      <c r="HR40" s="106"/>
      <c r="HS40" s="106"/>
      <c r="HT40" s="106"/>
      <c r="HU40" s="106"/>
      <c r="HV40" s="106"/>
      <c r="HW40" s="106"/>
      <c r="HX40" s="106"/>
      <c r="HY40" s="106"/>
      <c r="HZ40" s="106"/>
      <c r="IA40" s="106"/>
      <c r="IB40" s="106"/>
      <c r="IC40" s="106"/>
      <c r="ID40" s="106"/>
      <c r="IE40" s="106"/>
      <c r="IF40" s="106"/>
      <c r="IG40" s="106"/>
      <c r="IH40" s="106"/>
      <c r="II40" s="106"/>
      <c r="IJ40" s="106"/>
      <c r="IK40" s="106"/>
      <c r="IL40" s="106"/>
      <c r="IM40" s="106"/>
      <c r="IN40" s="106"/>
      <c r="IO40" s="106"/>
      <c r="IP40" s="106"/>
    </row>
    <row r="41" spans="1:250">
      <c r="A41" s="103"/>
      <c r="B41" s="104"/>
      <c r="C41" s="104"/>
      <c r="D41" s="107"/>
      <c r="E41" s="97"/>
      <c r="F41" s="97"/>
      <c r="G41" s="97"/>
      <c r="H41" s="97"/>
      <c r="I41" s="97"/>
      <c r="J41" s="102"/>
      <c r="K41" s="98"/>
      <c r="L41" s="101"/>
      <c r="M41" s="102"/>
      <c r="N41" s="98"/>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6"/>
      <c r="IP41" s="106"/>
    </row>
    <row r="42" spans="1:250">
      <c r="A42" s="108" t="str">
        <f>Database!B39</f>
        <v>Interface Module 3</v>
      </c>
      <c r="B42" s="90"/>
      <c r="C42" s="90"/>
      <c r="D42" s="109"/>
      <c r="E42" s="96"/>
      <c r="F42" s="96"/>
      <c r="G42" s="96"/>
      <c r="H42" s="96"/>
      <c r="I42" s="96"/>
      <c r="J42" s="102"/>
      <c r="K42" s="98"/>
      <c r="L42" s="101"/>
      <c r="M42" s="102"/>
      <c r="N42" s="98"/>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6"/>
      <c r="IP42" s="106"/>
    </row>
    <row r="43" spans="1:250">
      <c r="A43" s="103" t="str">
        <f ca="1">Database!E40</f>
        <v>Four slots for SFP transceivers</v>
      </c>
      <c r="B43" s="104"/>
      <c r="C43" s="104"/>
      <c r="D43" s="107"/>
      <c r="E43" s="97"/>
      <c r="F43" s="97"/>
      <c r="G43" s="97"/>
      <c r="H43" s="97"/>
      <c r="I43" s="97"/>
      <c r="J43" s="110" t="str">
        <f ca="1">Database!F40</f>
        <v>B</v>
      </c>
      <c r="K43" s="98"/>
      <c r="L43" s="101"/>
      <c r="M43" s="102"/>
      <c r="N43" s="98"/>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c r="IO43" s="106"/>
      <c r="IP43" s="106"/>
    </row>
    <row r="44" spans="1:250">
      <c r="A44" s="103" t="str">
        <f ca="1">Database!E41</f>
        <v>Four 100 Mbps LC-type connector multi mode fiber 100BASE-FX Ethernet for up to 2 km</v>
      </c>
      <c r="B44" s="104"/>
      <c r="C44" s="104"/>
      <c r="D44" s="107"/>
      <c r="E44" s="97"/>
      <c r="F44" s="97"/>
      <c r="G44" s="97"/>
      <c r="H44" s="97"/>
      <c r="I44" s="97"/>
      <c r="J44" s="110" t="str">
        <f ca="1">Database!F41</f>
        <v>H</v>
      </c>
      <c r="K44" s="98"/>
      <c r="L44" s="101"/>
      <c r="M44" s="102"/>
      <c r="N44" s="98"/>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6"/>
      <c r="IP44" s="106"/>
    </row>
    <row r="45" spans="1:250">
      <c r="A45" s="103" t="str">
        <f ca="1">Database!E42</f>
        <v>Four RJ45 copper 10/100BASE-TX</v>
      </c>
      <c r="B45" s="104"/>
      <c r="C45" s="104"/>
      <c r="D45" s="107"/>
      <c r="E45" s="97"/>
      <c r="F45" s="97"/>
      <c r="G45" s="97"/>
      <c r="H45" s="97"/>
      <c r="I45" s="97"/>
      <c r="J45" s="110" t="str">
        <f ca="1">Database!F42</f>
        <v>I</v>
      </c>
      <c r="K45" s="98"/>
      <c r="L45" s="101"/>
      <c r="M45" s="102"/>
      <c r="N45" s="98"/>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c r="IO45" s="106"/>
      <c r="IP45" s="106"/>
    </row>
    <row r="46" spans="1:250">
      <c r="A46" s="103" t="str">
        <f ca="1">Database!E43</f>
        <v>Not installed</v>
      </c>
      <c r="B46" s="104"/>
      <c r="C46" s="104"/>
      <c r="D46" s="107"/>
      <c r="E46" s="97"/>
      <c r="F46" s="97"/>
      <c r="G46" s="97"/>
      <c r="H46" s="97"/>
      <c r="I46" s="97"/>
      <c r="J46" s="110" t="str">
        <f ca="1">Database!F43</f>
        <v>X</v>
      </c>
      <c r="K46" s="98"/>
      <c r="L46" s="101"/>
      <c r="M46" s="102"/>
      <c r="N46" s="98"/>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c r="IO46" s="106"/>
      <c r="IP46" s="106"/>
    </row>
    <row r="47" spans="1:250">
      <c r="A47" s="111"/>
      <c r="B47" s="144"/>
      <c r="C47" s="144"/>
      <c r="D47" s="145"/>
      <c r="E47" s="145"/>
      <c r="F47" s="145"/>
      <c r="G47" s="145"/>
      <c r="H47" s="145"/>
      <c r="I47" s="145"/>
      <c r="J47" s="145"/>
      <c r="K47" s="98"/>
      <c r="L47" s="101"/>
      <c r="M47" s="102"/>
      <c r="N47" s="98"/>
    </row>
    <row r="48" spans="1:250">
      <c r="A48" s="95" t="str">
        <f>Database!B45</f>
        <v>Interface Module 4</v>
      </c>
      <c r="K48" s="98"/>
      <c r="L48" s="101"/>
      <c r="M48" s="102"/>
      <c r="N48" s="98"/>
    </row>
    <row r="49" spans="1:14">
      <c r="A49" s="103" t="str">
        <f ca="1">Database!E46</f>
        <v>Four slots for SFP transceivers</v>
      </c>
      <c r="K49" s="110" t="str">
        <f ca="1">Database!F46</f>
        <v>B</v>
      </c>
      <c r="L49" s="101"/>
      <c r="M49" s="102"/>
      <c r="N49" s="98"/>
    </row>
    <row r="50" spans="1:14">
      <c r="A50" s="103" t="str">
        <f ca="1">Database!E47</f>
        <v>Four 100 Mbps LC-type connector multi mode fiber 100BASE-FX Ethernet for up to 2 km</v>
      </c>
      <c r="K50" s="110" t="str">
        <f ca="1">Database!F47</f>
        <v>H</v>
      </c>
      <c r="L50" s="101"/>
      <c r="M50" s="102"/>
      <c r="N50" s="98"/>
    </row>
    <row r="51" spans="1:14">
      <c r="A51" s="103" t="str">
        <f ca="1">Database!E48</f>
        <v>Four RJ45 copper 10/100BASE-TX</v>
      </c>
      <c r="K51" s="110" t="str">
        <f ca="1">Database!F48</f>
        <v>I</v>
      </c>
      <c r="L51" s="101"/>
      <c r="M51" s="102"/>
      <c r="N51" s="98"/>
    </row>
    <row r="52" spans="1:14">
      <c r="A52" s="103" t="str">
        <f ca="1">Database!E49</f>
        <v>Not installed</v>
      </c>
      <c r="K52" s="110" t="str">
        <f ca="1">Database!F49</f>
        <v>X</v>
      </c>
      <c r="L52" s="101"/>
      <c r="M52" s="102"/>
      <c r="N52" s="98"/>
    </row>
    <row r="53" spans="1:14">
      <c r="A53" s="111"/>
      <c r="B53" s="144"/>
      <c r="C53" s="144"/>
      <c r="D53" s="145"/>
      <c r="E53" s="145"/>
      <c r="F53" s="145"/>
      <c r="G53" s="145"/>
      <c r="H53" s="145"/>
      <c r="I53" s="145"/>
      <c r="J53" s="145"/>
      <c r="K53" s="146"/>
      <c r="L53" s="101"/>
      <c r="M53" s="102"/>
      <c r="N53" s="98"/>
    </row>
    <row r="54" spans="1:14">
      <c r="A54" s="95" t="str">
        <f>Database!B51</f>
        <v>Interface Module 5</v>
      </c>
      <c r="L54" s="101"/>
      <c r="M54" s="102"/>
      <c r="N54" s="98"/>
    </row>
    <row r="55" spans="1:14">
      <c r="A55" s="103" t="str">
        <f ca="1">Database!E52</f>
        <v>Four slots for SFP transceivers</v>
      </c>
      <c r="L55" s="110" t="str">
        <f ca="1">Database!F52</f>
        <v>B</v>
      </c>
      <c r="M55" s="102"/>
      <c r="N55" s="98"/>
    </row>
    <row r="56" spans="1:14">
      <c r="A56" s="103" t="str">
        <f ca="1">Database!E53</f>
        <v>Four 100 Mbps LC-type connector multi mode fiber 100BASE-FX Ethernet for up to 2 km</v>
      </c>
      <c r="L56" s="110" t="str">
        <f ca="1">Database!F53</f>
        <v>H</v>
      </c>
      <c r="M56" s="102"/>
      <c r="N56" s="98"/>
    </row>
    <row r="57" spans="1:14">
      <c r="A57" s="103" t="str">
        <f ca="1">Database!E54</f>
        <v>Four RJ45 copper 10/100BASE-TX</v>
      </c>
      <c r="L57" s="110" t="str">
        <f ca="1">Database!F54</f>
        <v>I</v>
      </c>
      <c r="M57" s="102"/>
      <c r="N57" s="98"/>
    </row>
    <row r="58" spans="1:14">
      <c r="A58" s="103" t="str">
        <f ca="1">Database!E55</f>
        <v>Not installed</v>
      </c>
      <c r="L58" s="110" t="str">
        <f ca="1">Database!F55</f>
        <v>X</v>
      </c>
      <c r="M58" s="102"/>
      <c r="N58" s="98"/>
    </row>
    <row r="59" spans="1:14">
      <c r="A59" s="103"/>
      <c r="M59" s="102"/>
      <c r="N59" s="98"/>
    </row>
    <row r="60" spans="1:14">
      <c r="A60" s="108" t="str">
        <f>Database!B57</f>
        <v>Firmware Version</v>
      </c>
      <c r="B60" s="158"/>
      <c r="C60" s="158"/>
      <c r="D60" s="159"/>
      <c r="E60" s="159"/>
      <c r="F60" s="159"/>
      <c r="G60" s="159"/>
      <c r="H60" s="159"/>
      <c r="I60" s="159"/>
      <c r="J60" s="159"/>
      <c r="K60" s="159"/>
      <c r="L60" s="159"/>
      <c r="M60" s="102"/>
      <c r="N60" s="98"/>
    </row>
    <row r="61" spans="1:14">
      <c r="A61" s="103" t="str">
        <f ca="1">Database!E58</f>
        <v>Latest available firmware - 06</v>
      </c>
      <c r="B61" s="85"/>
      <c r="C61" s="85"/>
      <c r="D61" s="86"/>
      <c r="E61" s="86"/>
      <c r="F61" s="86"/>
      <c r="G61" s="86"/>
      <c r="H61" s="86"/>
      <c r="I61" s="86"/>
      <c r="J61" s="86"/>
      <c r="M61" s="110" t="str">
        <f ca="1">Database!F58</f>
        <v>06</v>
      </c>
      <c r="N61" s="98"/>
    </row>
    <row r="62" spans="1:14">
      <c r="A62" s="103" t="str">
        <f ca="1">Database!E59</f>
        <v>Firmware version number - 05</v>
      </c>
      <c r="B62" s="85"/>
      <c r="C62" s="85"/>
      <c r="D62" s="86"/>
      <c r="E62" s="86"/>
      <c r="F62" s="86"/>
      <c r="G62" s="86"/>
      <c r="H62" s="86"/>
      <c r="I62" s="86"/>
      <c r="J62" s="86"/>
      <c r="M62" s="110" t="str">
        <f ca="1">Database!F59</f>
        <v>05</v>
      </c>
      <c r="N62" s="98"/>
    </row>
    <row r="63" spans="1:14">
      <c r="A63" s="103"/>
      <c r="B63" s="85"/>
      <c r="C63" s="85"/>
      <c r="D63" s="86"/>
      <c r="E63" s="86"/>
      <c r="F63" s="86"/>
      <c r="G63" s="86"/>
      <c r="H63" s="86"/>
      <c r="I63" s="86"/>
      <c r="J63" s="86"/>
      <c r="N63" s="98"/>
    </row>
    <row r="64" spans="1:14">
      <c r="A64" s="108" t="str">
        <f>Database!B60</f>
        <v>Hardware Design Suffix</v>
      </c>
      <c r="B64" s="90"/>
      <c r="C64" s="90"/>
      <c r="D64" s="109"/>
      <c r="E64" s="96"/>
      <c r="F64" s="96"/>
      <c r="G64" s="96"/>
      <c r="H64" s="96"/>
      <c r="I64" s="96"/>
      <c r="J64" s="158"/>
      <c r="K64" s="159"/>
      <c r="L64" s="159"/>
      <c r="M64" s="159"/>
      <c r="N64" s="98"/>
    </row>
    <row r="65" spans="1:14">
      <c r="A65" s="103" t="str">
        <f ca="1">Database!E61</f>
        <v>Standard hardware release</v>
      </c>
      <c r="B65" s="104"/>
      <c r="C65" s="104"/>
      <c r="D65" s="107"/>
      <c r="E65" s="97"/>
      <c r="F65" s="97"/>
      <c r="G65" s="97"/>
      <c r="H65" s="97"/>
      <c r="I65" s="97"/>
      <c r="J65" s="85"/>
      <c r="N65" s="110" t="str">
        <f ca="1">Database!F61</f>
        <v>B</v>
      </c>
    </row>
    <row r="66" spans="1:14">
      <c r="A66" s="103" t="str">
        <f ca="1">Database!E62</f>
        <v>Alternate hardware release (Withdraw)</v>
      </c>
      <c r="B66" s="104"/>
      <c r="C66" s="104"/>
      <c r="D66" s="107"/>
      <c r="E66" s="97"/>
      <c r="F66" s="97"/>
      <c r="G66" s="97"/>
      <c r="H66" s="97"/>
      <c r="I66" s="97"/>
      <c r="J66" s="85"/>
      <c r="N66" s="110" t="str">
        <f ca="1">Database!F62</f>
        <v>BL</v>
      </c>
    </row>
    <row r="67" spans="1:14">
      <c r="A67" s="160"/>
      <c r="B67" s="144"/>
      <c r="C67" s="144"/>
      <c r="D67" s="144"/>
      <c r="E67" s="144"/>
      <c r="F67" s="144"/>
      <c r="G67" s="144"/>
      <c r="H67" s="144"/>
      <c r="I67" s="144"/>
      <c r="J67" s="144"/>
      <c r="K67" s="144"/>
      <c r="L67" s="144"/>
      <c r="M67" s="144"/>
      <c r="N67" s="161"/>
    </row>
    <row r="68" spans="1:14">
      <c r="A68" s="103"/>
      <c r="N68" s="157"/>
    </row>
    <row r="69" spans="1:14">
      <c r="A69" s="103"/>
      <c r="N69" s="86"/>
    </row>
    <row r="70" spans="1:14">
      <c r="A70" s="103"/>
    </row>
    <row r="71" spans="1:14">
      <c r="A71" s="103"/>
    </row>
  </sheetData>
  <sheetProtection password="C927" sheet="1" objects="1" scenarios="1"/>
  <mergeCells count="1">
    <mergeCell ref="B4:C4"/>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W34"/>
  <sheetViews>
    <sheetView showGridLines="0" showRowColHeaders="0" zoomScaleNormal="100" workbookViewId="0">
      <pane ySplit="4" topLeftCell="A5" activePane="bottomLeft" state="frozen"/>
      <selection pane="bottomLeft"/>
    </sheetView>
  </sheetViews>
  <sheetFormatPr defaultRowHeight="14.25"/>
  <cols>
    <col min="1" max="1" width="4.5703125" style="33" customWidth="1"/>
    <col min="2" max="4" width="9.140625" style="33"/>
    <col min="5" max="5" width="85.7109375" style="33" customWidth="1"/>
    <col min="6" max="6" width="11.5703125" style="33" bestFit="1" customWidth="1"/>
    <col min="7" max="7" width="4.5703125" style="72" customWidth="1"/>
    <col min="8" max="14" width="3.28515625" style="72" customWidth="1"/>
    <col min="15" max="16" width="5.85546875" style="72" bestFit="1" customWidth="1"/>
    <col min="17" max="17" width="4" style="33" customWidth="1"/>
    <col min="18" max="19" width="3.5703125" style="33" hidden="1" customWidth="1"/>
    <col min="20" max="20" width="15.7109375" style="124" hidden="1" customWidth="1"/>
    <col min="21" max="21" width="4" style="33" hidden="1" customWidth="1"/>
    <col min="22" max="22" width="9.140625" style="124"/>
    <col min="23" max="16384" width="9.140625" style="33"/>
  </cols>
  <sheetData>
    <row r="1" spans="1:23" ht="21" thickBot="1">
      <c r="A1" s="256" t="str">
        <f>HLOOKUP(Language!$C$3,Language!$E$1:$Z536,77,FALSE)</f>
        <v>THIS CORTEC FILE HAS BEEN REPLACED BY THE S20 CORTEC FILE</v>
      </c>
    </row>
    <row r="2" spans="1:23" ht="18">
      <c r="A2" s="121" t="str">
        <f ca="1">Database!E2</f>
        <v>S2020 Modular Managed Ethernet Switch</v>
      </c>
      <c r="B2" s="30"/>
      <c r="C2" s="30"/>
      <c r="D2" s="30"/>
      <c r="E2" s="30"/>
      <c r="F2" s="30"/>
      <c r="G2" s="31"/>
      <c r="H2" s="31"/>
      <c r="I2" s="31"/>
      <c r="J2" s="31"/>
      <c r="K2" s="31"/>
      <c r="L2" s="31"/>
      <c r="M2" s="31"/>
      <c r="N2" s="31"/>
      <c r="O2" s="31"/>
      <c r="P2" s="31"/>
      <c r="Q2" s="32"/>
      <c r="T2" s="186" t="str">
        <f>HLOOKUP(Language!$C$3,Language!$E$1:$Z501,46,FALSE)</f>
        <v>Material Cost</v>
      </c>
      <c r="U2" s="187"/>
      <c r="V2" s="188"/>
    </row>
    <row r="3" spans="1:23">
      <c r="A3" s="34"/>
      <c r="B3" s="35"/>
      <c r="C3" s="35"/>
      <c r="D3" s="35"/>
      <c r="E3" s="35"/>
      <c r="F3" s="36" t="s">
        <v>39</v>
      </c>
      <c r="G3" s="37">
        <v>6</v>
      </c>
      <c r="H3" s="37">
        <v>7</v>
      </c>
      <c r="I3" s="37">
        <v>8</v>
      </c>
      <c r="J3" s="37">
        <v>9</v>
      </c>
      <c r="K3" s="37">
        <v>10</v>
      </c>
      <c r="L3" s="37">
        <v>11</v>
      </c>
      <c r="M3" s="37">
        <v>12</v>
      </c>
      <c r="N3" s="37">
        <v>13</v>
      </c>
      <c r="O3" s="37" t="s">
        <v>87</v>
      </c>
      <c r="P3" s="37" t="s">
        <v>88</v>
      </c>
      <c r="Q3" s="38"/>
      <c r="T3" s="189">
        <f ca="1">SUM(T4:T500)</f>
        <v>0</v>
      </c>
      <c r="U3" s="38"/>
      <c r="V3" s="126"/>
    </row>
    <row r="4" spans="1:23" s="44" customFormat="1" ht="18" customHeight="1">
      <c r="A4" s="39"/>
      <c r="B4" s="40"/>
      <c r="C4" s="40"/>
      <c r="D4" s="40"/>
      <c r="E4" s="41"/>
      <c r="F4" s="224" t="str">
        <f>Database!E3</f>
        <v>S2020</v>
      </c>
      <c r="G4" s="42">
        <f ca="1">G6</f>
        <v>3</v>
      </c>
      <c r="H4" s="42">
        <f ca="1">G8</f>
        <v>3</v>
      </c>
      <c r="I4" s="42" t="str">
        <f ca="1">G10</f>
        <v>P</v>
      </c>
      <c r="J4" s="42" t="str">
        <f ca="1">G12</f>
        <v>A</v>
      </c>
      <c r="K4" s="42" t="str">
        <f ca="1">G14</f>
        <v>B</v>
      </c>
      <c r="L4" s="42" t="str">
        <f ca="1">G16</f>
        <v>X</v>
      </c>
      <c r="M4" s="42" t="str">
        <f ca="1">G18</f>
        <v>B</v>
      </c>
      <c r="N4" s="151" t="str">
        <f ca="1">G20</f>
        <v>B</v>
      </c>
      <c r="O4" s="140" t="str">
        <f ca="1">G22</f>
        <v>06</v>
      </c>
      <c r="P4" s="140" t="str">
        <f ca="1">G24</f>
        <v>B</v>
      </c>
      <c r="Q4" s="43"/>
      <c r="T4" s="189">
        <f ca="1">Database!G2</f>
        <v>0</v>
      </c>
      <c r="U4" s="43"/>
      <c r="V4" s="126"/>
    </row>
    <row r="5" spans="1:23" s="44" customFormat="1" ht="18" customHeight="1">
      <c r="A5" s="45" t="str">
        <f>Database!B5</f>
        <v>Power Supply 1</v>
      </c>
      <c r="B5" s="46"/>
      <c r="C5" s="46"/>
      <c r="D5" s="46"/>
      <c r="E5" s="46"/>
      <c r="F5" s="47"/>
      <c r="G5" s="55"/>
      <c r="H5" s="127"/>
      <c r="I5" s="128"/>
      <c r="J5" s="48"/>
      <c r="K5" s="127"/>
      <c r="L5" s="128"/>
      <c r="M5" s="154" t="s">
        <v>86</v>
      </c>
      <c r="N5" s="127"/>
      <c r="O5" s="141"/>
      <c r="P5" s="142"/>
      <c r="Q5" s="43"/>
      <c r="T5" s="189"/>
      <c r="U5" s="38"/>
      <c r="V5" s="126"/>
    </row>
    <row r="6" spans="1:23" s="44" customFormat="1" ht="24" customHeight="1">
      <c r="A6" s="49"/>
      <c r="B6" s="46"/>
      <c r="C6" s="46"/>
      <c r="D6" s="46"/>
      <c r="E6" s="46"/>
      <c r="F6" s="47"/>
      <c r="G6" s="42">
        <f ca="1">Database!F5</f>
        <v>3</v>
      </c>
      <c r="H6" s="127"/>
      <c r="I6" s="128"/>
      <c r="J6" s="48"/>
      <c r="K6" s="127"/>
      <c r="L6" s="128"/>
      <c r="M6" s="155" t="s">
        <v>86</v>
      </c>
      <c r="N6" s="127"/>
      <c r="O6" s="128"/>
      <c r="P6" s="48"/>
      <c r="Q6" s="43"/>
      <c r="T6" s="189"/>
      <c r="U6" s="38"/>
      <c r="V6" s="125" t="str">
        <f ca="1">IF(Database!H5="N",HLOOKUP(Language!$C$3,Language!$E$1:$Z501,47,FALSE),"")</f>
        <v/>
      </c>
    </row>
    <row r="7" spans="1:23" ht="18" customHeight="1">
      <c r="A7" s="45" t="str">
        <f>Database!B9</f>
        <v>Power Supply 2</v>
      </c>
      <c r="B7" s="50"/>
      <c r="C7" s="51"/>
      <c r="D7" s="51"/>
      <c r="E7" s="51"/>
      <c r="F7" s="51"/>
      <c r="G7" s="225"/>
      <c r="H7" s="127"/>
      <c r="I7" s="128"/>
      <c r="J7" s="48"/>
      <c r="K7" s="127"/>
      <c r="L7" s="128"/>
      <c r="M7" s="155" t="s">
        <v>86</v>
      </c>
      <c r="N7" s="127"/>
      <c r="O7" s="128"/>
      <c r="P7" s="48"/>
      <c r="Q7" s="38"/>
      <c r="T7" s="189"/>
      <c r="U7" s="38"/>
      <c r="V7" s="126"/>
    </row>
    <row r="8" spans="1:23" ht="36" customHeight="1">
      <c r="A8" s="53"/>
      <c r="B8" s="51"/>
      <c r="C8" s="51"/>
      <c r="D8" s="54"/>
      <c r="E8" s="51"/>
      <c r="F8" s="51"/>
      <c r="G8" s="42">
        <f ca="1">Database!F9</f>
        <v>3</v>
      </c>
      <c r="H8" s="130"/>
      <c r="I8" s="128"/>
      <c r="J8" s="48"/>
      <c r="K8" s="127"/>
      <c r="L8" s="128"/>
      <c r="M8" s="155" t="s">
        <v>86</v>
      </c>
      <c r="N8" s="127"/>
      <c r="O8" s="128"/>
      <c r="P8" s="48"/>
      <c r="Q8" s="38"/>
      <c r="T8" s="189"/>
      <c r="U8" s="38"/>
      <c r="V8" s="125" t="str">
        <f ca="1">IF(Database!H9="N",HLOOKUP(Language!$C$3,Language!$E$1:$Z501,47,FALSE),"")</f>
        <v/>
      </c>
    </row>
    <row r="9" spans="1:23" ht="18" customHeight="1">
      <c r="A9" s="45" t="str">
        <f>Database!B14</f>
        <v>Mounting Options</v>
      </c>
      <c r="B9" s="51"/>
      <c r="C9" s="51"/>
      <c r="D9" s="51"/>
      <c r="E9" s="51"/>
      <c r="F9" s="51"/>
      <c r="G9" s="136"/>
      <c r="H9" s="136"/>
      <c r="I9" s="128"/>
      <c r="J9" s="48"/>
      <c r="K9" s="127"/>
      <c r="L9" s="128"/>
      <c r="M9" s="155" t="s">
        <v>86</v>
      </c>
      <c r="N9" s="127"/>
      <c r="O9" s="128"/>
      <c r="P9" s="48"/>
      <c r="Q9" s="38"/>
      <c r="T9" s="189"/>
      <c r="U9" s="38"/>
      <c r="V9" s="126"/>
    </row>
    <row r="10" spans="1:23" ht="24" customHeight="1">
      <c r="A10" s="53"/>
      <c r="B10" s="51"/>
      <c r="C10" s="51"/>
      <c r="D10" s="51"/>
      <c r="E10" s="51"/>
      <c r="F10" s="51"/>
      <c r="G10" s="42" t="str">
        <f ca="1">Database!F14</f>
        <v>P</v>
      </c>
      <c r="H10" s="137"/>
      <c r="I10" s="135"/>
      <c r="J10" s="48"/>
      <c r="K10" s="127"/>
      <c r="L10" s="128"/>
      <c r="M10" s="155" t="s">
        <v>86</v>
      </c>
      <c r="N10" s="127"/>
      <c r="O10" s="128"/>
      <c r="P10" s="48"/>
      <c r="Q10" s="38"/>
      <c r="T10" s="189"/>
      <c r="U10" s="38"/>
      <c r="V10" s="125" t="str">
        <f ca="1">IF(Database!H14="N",HLOOKUP(Language!$C$3,Language!$E$1:$Z501,47,FALSE),"")</f>
        <v/>
      </c>
    </row>
    <row r="11" spans="1:23" ht="18" customHeight="1">
      <c r="A11" s="56" t="str">
        <f>Database!B18</f>
        <v>Interface Module 1</v>
      </c>
      <c r="B11" s="57"/>
      <c r="C11" s="51"/>
      <c r="D11" s="51"/>
      <c r="E11" s="51"/>
      <c r="F11" s="51"/>
      <c r="G11" s="52"/>
      <c r="H11" s="52"/>
      <c r="I11" s="52"/>
      <c r="J11" s="48"/>
      <c r="K11" s="127"/>
      <c r="L11" s="128"/>
      <c r="M11" s="155" t="s">
        <v>86</v>
      </c>
      <c r="N11" s="127"/>
      <c r="O11" s="128"/>
      <c r="P11" s="48"/>
      <c r="Q11" s="38"/>
      <c r="T11" s="189"/>
      <c r="U11" s="38"/>
      <c r="V11" s="126"/>
    </row>
    <row r="12" spans="1:23" ht="129.94999999999999" customHeight="1">
      <c r="A12" s="53"/>
      <c r="B12" s="58"/>
      <c r="C12" s="59"/>
      <c r="D12" s="59"/>
      <c r="E12" s="59"/>
      <c r="F12" s="60"/>
      <c r="G12" s="42" t="str">
        <f ca="1">Database!F18</f>
        <v>A</v>
      </c>
      <c r="H12" s="138"/>
      <c r="I12" s="138"/>
      <c r="J12" s="134"/>
      <c r="K12" s="127"/>
      <c r="L12" s="128"/>
      <c r="M12" s="155" t="s">
        <v>86</v>
      </c>
      <c r="N12" s="127"/>
      <c r="O12" s="128"/>
      <c r="P12" s="48"/>
      <c r="Q12" s="38"/>
      <c r="T12" s="189"/>
      <c r="U12" s="38"/>
      <c r="V12" s="125" t="str">
        <f ca="1">IF(Database!H18="N",HLOOKUP(Language!$C$3,Language!$E$1:$Z501,47,FALSE),"")</f>
        <v/>
      </c>
      <c r="W12" s="245"/>
    </row>
    <row r="13" spans="1:23" ht="18" customHeight="1">
      <c r="A13" s="45" t="str">
        <f>Database!B33</f>
        <v>Interface Module 2</v>
      </c>
      <c r="B13" s="58"/>
      <c r="C13" s="61"/>
      <c r="D13" s="61"/>
      <c r="E13" s="61"/>
      <c r="F13" s="62"/>
      <c r="G13" s="129"/>
      <c r="H13" s="129"/>
      <c r="I13" s="129"/>
      <c r="J13" s="129"/>
      <c r="K13" s="127"/>
      <c r="L13" s="128"/>
      <c r="M13" s="155" t="s">
        <v>86</v>
      </c>
      <c r="N13" s="127"/>
      <c r="O13" s="128"/>
      <c r="P13" s="48"/>
      <c r="Q13" s="38"/>
      <c r="T13" s="189"/>
      <c r="U13" s="38"/>
      <c r="V13" s="126"/>
    </row>
    <row r="14" spans="1:23" ht="46.5" customHeight="1">
      <c r="A14" s="53"/>
      <c r="B14" s="63"/>
      <c r="C14" s="62"/>
      <c r="D14" s="62"/>
      <c r="E14" s="62"/>
      <c r="F14" s="64"/>
      <c r="G14" s="42" t="str">
        <f ca="1">Database!F33</f>
        <v>B</v>
      </c>
      <c r="H14" s="131"/>
      <c r="I14" s="131"/>
      <c r="J14" s="131"/>
      <c r="K14" s="130"/>
      <c r="L14" s="128"/>
      <c r="M14" s="155" t="s">
        <v>86</v>
      </c>
      <c r="N14" s="127"/>
      <c r="O14" s="128"/>
      <c r="P14" s="48"/>
      <c r="Q14" s="38"/>
      <c r="T14" s="189"/>
      <c r="U14" s="38"/>
      <c r="V14" s="125" t="str">
        <f ca="1">IF(Database!H33="N",HLOOKUP(Language!$C$3,Language!$E$1:$Z501,47,FALSE),"")</f>
        <v/>
      </c>
    </row>
    <row r="15" spans="1:23" ht="18" customHeight="1">
      <c r="A15" s="45" t="str">
        <f>Database!B39</f>
        <v>Interface Module 3</v>
      </c>
      <c r="B15" s="58"/>
      <c r="C15" s="65"/>
      <c r="D15" s="61"/>
      <c r="E15" s="61"/>
      <c r="F15" s="62"/>
      <c r="G15" s="136"/>
      <c r="H15" s="136"/>
      <c r="I15" s="136"/>
      <c r="J15" s="136"/>
      <c r="K15" s="136"/>
      <c r="L15" s="128"/>
      <c r="M15" s="155" t="s">
        <v>86</v>
      </c>
      <c r="N15" s="127"/>
      <c r="O15" s="128"/>
      <c r="P15" s="48"/>
      <c r="Q15" s="38"/>
      <c r="T15" s="189"/>
      <c r="U15" s="38"/>
      <c r="V15" s="126"/>
    </row>
    <row r="16" spans="1:23" ht="46.5" customHeight="1">
      <c r="A16" s="53"/>
      <c r="B16" s="63"/>
      <c r="C16" s="66"/>
      <c r="D16" s="62"/>
      <c r="E16" s="62"/>
      <c r="F16" s="64"/>
      <c r="G16" s="42" t="str">
        <f ca="1">Database!F39</f>
        <v>X</v>
      </c>
      <c r="H16" s="137"/>
      <c r="I16" s="139"/>
      <c r="J16" s="139"/>
      <c r="K16" s="139"/>
      <c r="L16" s="135"/>
      <c r="M16" s="155" t="s">
        <v>86</v>
      </c>
      <c r="N16" s="127"/>
      <c r="O16" s="128"/>
      <c r="P16" s="48"/>
      <c r="Q16" s="38"/>
      <c r="T16" s="189"/>
      <c r="U16" s="38"/>
      <c r="V16" s="125" t="str">
        <f ca="1">IF(Database!H39="N",HLOOKUP(Language!$C$3,Language!$E$1:$Z501,47,FALSE),"")</f>
        <v/>
      </c>
    </row>
    <row r="17" spans="1:22" ht="18" customHeight="1">
      <c r="A17" s="45" t="str">
        <f>Database!B45</f>
        <v>Interface Module 4</v>
      </c>
      <c r="B17" s="58"/>
      <c r="C17" s="65"/>
      <c r="D17" s="61"/>
      <c r="E17" s="61"/>
      <c r="F17" s="62"/>
      <c r="G17" s="152" t="s">
        <v>86</v>
      </c>
      <c r="H17" s="153" t="s">
        <v>86</v>
      </c>
      <c r="I17" s="153" t="s">
        <v>86</v>
      </c>
      <c r="J17" s="153" t="s">
        <v>86</v>
      </c>
      <c r="K17" s="153" t="s">
        <v>86</v>
      </c>
      <c r="L17" s="153" t="s">
        <v>86</v>
      </c>
      <c r="M17" s="155" t="s">
        <v>86</v>
      </c>
      <c r="N17" s="127"/>
      <c r="O17" s="128"/>
      <c r="P17" s="48"/>
      <c r="Q17" s="38"/>
      <c r="T17" s="189"/>
      <c r="U17" s="38"/>
      <c r="V17" s="126"/>
    </row>
    <row r="18" spans="1:22" ht="46.5" customHeight="1">
      <c r="A18" s="53"/>
      <c r="B18" s="63"/>
      <c r="C18" s="66"/>
      <c r="D18" s="62"/>
      <c r="E18" s="62"/>
      <c r="F18" s="62"/>
      <c r="G18" s="42" t="str">
        <f ca="1">Database!F45</f>
        <v>B</v>
      </c>
      <c r="H18" s="152" t="s">
        <v>86</v>
      </c>
      <c r="I18" s="152" t="s">
        <v>86</v>
      </c>
      <c r="J18" s="152" t="s">
        <v>86</v>
      </c>
      <c r="K18" s="152" t="s">
        <v>86</v>
      </c>
      <c r="L18" s="152" t="s">
        <v>86</v>
      </c>
      <c r="M18" s="156" t="s">
        <v>86</v>
      </c>
      <c r="N18" s="127"/>
      <c r="O18" s="128"/>
      <c r="P18" s="48"/>
      <c r="Q18" s="38"/>
      <c r="T18" s="189"/>
      <c r="U18" s="38"/>
      <c r="V18" s="125" t="str">
        <f ca="1">IF(Database!H45="N",HLOOKUP(Language!$C$3,Language!$E$1:$Z501,47,FALSE),"")</f>
        <v/>
      </c>
    </row>
    <row r="19" spans="1:22" ht="18" customHeight="1">
      <c r="A19" s="45" t="str">
        <f>Database!B51</f>
        <v>Interface Module 5</v>
      </c>
      <c r="B19" s="58"/>
      <c r="C19" s="65"/>
      <c r="D19" s="61"/>
      <c r="E19" s="61"/>
      <c r="F19" s="62"/>
      <c r="G19" s="131"/>
      <c r="H19" s="129"/>
      <c r="I19" s="129"/>
      <c r="J19" s="129"/>
      <c r="K19" s="129"/>
      <c r="L19" s="129"/>
      <c r="M19" s="129"/>
      <c r="N19" s="127"/>
      <c r="O19" s="128"/>
      <c r="P19" s="48"/>
      <c r="Q19" s="38"/>
      <c r="T19" s="189"/>
      <c r="U19" s="38"/>
      <c r="V19" s="126"/>
    </row>
    <row r="20" spans="1:22" ht="46.5" customHeight="1">
      <c r="A20" s="53"/>
      <c r="B20" s="63"/>
      <c r="C20" s="66"/>
      <c r="D20" s="62"/>
      <c r="E20" s="62"/>
      <c r="F20" s="62"/>
      <c r="G20" s="42" t="str">
        <f ca="1">Database!F51</f>
        <v>B</v>
      </c>
      <c r="H20" s="131"/>
      <c r="I20" s="131"/>
      <c r="J20" s="131"/>
      <c r="K20" s="131"/>
      <c r="L20" s="131"/>
      <c r="M20" s="131"/>
      <c r="N20" s="130"/>
      <c r="O20" s="128"/>
      <c r="P20" s="48"/>
      <c r="Q20" s="38"/>
      <c r="T20" s="189"/>
      <c r="U20" s="38"/>
      <c r="V20" s="125" t="str">
        <f ca="1">IF(Database!H51="N",HLOOKUP(Language!$C$3,Language!$E$1:$Z501,47,FALSE),"")</f>
        <v/>
      </c>
    </row>
    <row r="21" spans="1:22" ht="18" customHeight="1">
      <c r="A21" s="67" t="str">
        <f>Database!B57</f>
        <v>Firmware Version</v>
      </c>
      <c r="B21" s="63"/>
      <c r="C21" s="66"/>
      <c r="D21" s="62"/>
      <c r="E21" s="62"/>
      <c r="F21" s="62"/>
      <c r="G21" s="136"/>
      <c r="H21" s="136"/>
      <c r="I21" s="136"/>
      <c r="J21" s="136"/>
      <c r="K21" s="136"/>
      <c r="L21" s="136"/>
      <c r="M21" s="136"/>
      <c r="N21" s="136"/>
      <c r="O21" s="128"/>
      <c r="P21" s="48"/>
      <c r="Q21" s="38"/>
      <c r="T21" s="189"/>
      <c r="U21" s="38"/>
      <c r="V21" s="126"/>
    </row>
    <row r="22" spans="1:22" ht="24" customHeight="1">
      <c r="A22" s="45"/>
      <c r="B22" s="63"/>
      <c r="C22" s="66"/>
      <c r="D22" s="62"/>
      <c r="E22" s="62"/>
      <c r="F22" s="62"/>
      <c r="G22" s="42" t="str">
        <f ca="1">Database!F57</f>
        <v>06</v>
      </c>
      <c r="H22" s="139"/>
      <c r="I22" s="139"/>
      <c r="J22" s="139"/>
      <c r="K22" s="139"/>
      <c r="L22" s="139"/>
      <c r="M22" s="139"/>
      <c r="N22" s="139"/>
      <c r="O22" s="135"/>
      <c r="P22" s="48"/>
      <c r="Q22" s="38"/>
      <c r="T22" s="189"/>
      <c r="U22" s="38"/>
      <c r="V22" s="125" t="str">
        <f ca="1">IF(Database!H57="N",HLOOKUP(Language!$C$3,Language!$E$1:$Z501,47,FALSE),"")</f>
        <v/>
      </c>
    </row>
    <row r="23" spans="1:22" ht="18" customHeight="1">
      <c r="A23" s="67" t="str">
        <f>Database!B60</f>
        <v>Hardware Design Suffix</v>
      </c>
      <c r="B23" s="63"/>
      <c r="C23" s="66"/>
      <c r="D23" s="62"/>
      <c r="E23" s="62"/>
      <c r="F23" s="62"/>
      <c r="G23" s="152" t="s">
        <v>86</v>
      </c>
      <c r="H23" s="52"/>
      <c r="I23" s="52"/>
      <c r="J23" s="52"/>
      <c r="K23" s="52"/>
      <c r="L23" s="52"/>
      <c r="M23" s="52"/>
      <c r="N23" s="52"/>
      <c r="O23" s="52"/>
      <c r="P23" s="48"/>
      <c r="Q23" s="38"/>
      <c r="T23" s="189"/>
      <c r="U23" s="38"/>
      <c r="V23" s="126"/>
    </row>
    <row r="24" spans="1:22" ht="30" customHeight="1">
      <c r="A24" s="45"/>
      <c r="B24" s="63"/>
      <c r="C24" s="66"/>
      <c r="D24" s="62"/>
      <c r="E24" s="62"/>
      <c r="F24" s="62"/>
      <c r="G24" s="42" t="str">
        <f ca="1">Database!F60</f>
        <v>B</v>
      </c>
      <c r="H24" s="143"/>
      <c r="I24" s="138"/>
      <c r="J24" s="138"/>
      <c r="K24" s="138"/>
      <c r="L24" s="138"/>
      <c r="M24" s="138"/>
      <c r="N24" s="138"/>
      <c r="O24" s="138"/>
      <c r="P24" s="134"/>
      <c r="Q24" s="38"/>
      <c r="T24" s="189"/>
      <c r="U24" s="38"/>
      <c r="V24" s="125" t="str">
        <f ca="1">IF(Database!H60="N",HLOOKUP(Language!$C$3,Language!$E$1:$Z501,47,FALSE),"")</f>
        <v/>
      </c>
    </row>
    <row r="25" spans="1:22" ht="17.25" customHeight="1" thickBot="1">
      <c r="A25" s="68"/>
      <c r="B25" s="69"/>
      <c r="C25" s="69"/>
      <c r="D25" s="69"/>
      <c r="E25" s="69"/>
      <c r="F25" s="69"/>
      <c r="G25" s="70"/>
      <c r="H25" s="70"/>
      <c r="I25" s="70"/>
      <c r="J25" s="70"/>
      <c r="K25" s="70"/>
      <c r="L25" s="70"/>
      <c r="M25" s="70"/>
      <c r="N25" s="70"/>
      <c r="O25" s="70"/>
      <c r="P25" s="70"/>
      <c r="Q25" s="71"/>
      <c r="T25" s="190"/>
      <c r="U25" s="71"/>
      <c r="V25" s="126"/>
    </row>
    <row r="26" spans="1:22">
      <c r="T26" s="126"/>
      <c r="V26" s="126"/>
    </row>
    <row r="27" spans="1:22">
      <c r="T27" s="126"/>
      <c r="V27" s="126"/>
    </row>
    <row r="28" spans="1:22">
      <c r="T28" s="126"/>
      <c r="V28" s="126"/>
    </row>
    <row r="29" spans="1:22">
      <c r="T29" s="126"/>
      <c r="V29" s="126"/>
    </row>
    <row r="30" spans="1:22">
      <c r="T30" s="126"/>
      <c r="V30" s="126"/>
    </row>
    <row r="31" spans="1:22">
      <c r="T31" s="126"/>
      <c r="V31" s="126"/>
    </row>
    <row r="32" spans="1:22">
      <c r="T32" s="126"/>
      <c r="V32" s="126"/>
    </row>
    <row r="33" spans="20:22">
      <c r="T33" s="126"/>
      <c r="V33" s="126"/>
    </row>
    <row r="34" spans="20:22">
      <c r="V34" s="126"/>
    </row>
  </sheetData>
  <sheetProtection password="C927" sheet="1" objects="1" scenarios="1"/>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from>
                    <xdr:col>0</xdr:col>
                    <xdr:colOff>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4098" r:id="rId5" name="List Box 2">
              <controlPr defaultSize="0" autoLine="0" autoPict="0">
                <anchor moveWithCells="1">
                  <from>
                    <xdr:col>0</xdr:col>
                    <xdr:colOff>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4099" r:id="rId6" name="List Box 3">
              <controlPr defaultSize="0" autoLine="0" autoPict="0">
                <anchor moveWithCells="1">
                  <from>
                    <xdr:col>0</xdr:col>
                    <xdr:colOff>0</xdr:colOff>
                    <xdr:row>5</xdr:row>
                    <xdr:rowOff>0</xdr:rowOff>
                  </from>
                  <to>
                    <xdr:col>6</xdr:col>
                    <xdr:colOff>0</xdr:colOff>
                    <xdr:row>6</xdr:row>
                    <xdr:rowOff>0</xdr:rowOff>
                  </to>
                </anchor>
              </controlPr>
            </control>
          </mc:Choice>
        </mc:AlternateContent>
        <mc:AlternateContent xmlns:mc="http://schemas.openxmlformats.org/markup-compatibility/2006">
          <mc:Choice Requires="x14">
            <control shapeId="4100" r:id="rId7" name="List Box 4">
              <controlPr defaultSize="0" autoLine="0" autoPict="0">
                <anchor moveWithCells="1">
                  <from>
                    <xdr:col>0</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4101" r:id="rId8" name="List Box 5">
              <controlPr defaultSize="0" autoLine="0" autoPict="0">
                <anchor moveWithCells="1">
                  <from>
                    <xdr:col>0</xdr:col>
                    <xdr:colOff>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4102" r:id="rId9" name="List Box 6">
              <controlPr defaultSize="0" autoLine="0" autoPict="0">
                <anchor moveWithCells="1">
                  <from>
                    <xdr:col>0</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4108" r:id="rId10" name="List Box 12">
              <controlPr defaultSize="0" autoLine="0" autoPict="0">
                <anchor moveWithCells="1">
                  <from>
                    <xdr:col>0</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4119" r:id="rId11" name="List Box 23">
              <controlPr defaultSize="0" autoLine="0" autoPict="0">
                <anchor moveWithCells="1">
                  <from>
                    <xdr:col>0</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4120" r:id="rId12" name="List Box 24">
              <controlPr defaultSize="0" autoLine="0" autoPict="0">
                <anchor moveWithCells="1">
                  <from>
                    <xdr:col>0</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4123" r:id="rId13" name="List Box 27">
              <controlPr defaultSize="0" autoLine="0" autoPict="0">
                <anchor moveWithCells="1">
                  <from>
                    <xdr:col>0</xdr:col>
                    <xdr:colOff>0</xdr:colOff>
                    <xdr:row>21</xdr:row>
                    <xdr:rowOff>0</xdr:rowOff>
                  </from>
                  <to>
                    <xdr:col>6</xdr:col>
                    <xdr:colOff>9525</xdr:colOff>
                    <xdr:row>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1:D36"/>
  <sheetViews>
    <sheetView showGridLines="0" showRowColHeaders="0" workbookViewId="0">
      <pane ySplit="2" topLeftCell="A3" activePane="bottomLeft" state="frozen"/>
      <selection pane="bottomLeft" activeCell="B36" sqref="B36"/>
    </sheetView>
  </sheetViews>
  <sheetFormatPr defaultRowHeight="14.25"/>
  <cols>
    <col min="1" max="1" width="9.140625" style="172"/>
    <col min="2" max="2" width="9.140625" style="176"/>
    <col min="3" max="3" width="149.7109375" style="172" customWidth="1"/>
    <col min="4" max="4" width="17.42578125" style="176" customWidth="1"/>
    <col min="5" max="16384" width="9.140625" style="29"/>
  </cols>
  <sheetData>
    <row r="1" spans="1:4" s="230" customFormat="1" ht="21" thickBot="1">
      <c r="A1" s="256" t="str">
        <f>HLOOKUP(Language!$C$3,Language!$E$1:$Z536,77,FALSE)</f>
        <v>THIS CORTEC FILE HAS BEEN REPLACED BY THE S20 CORTEC FILE</v>
      </c>
      <c r="B1" s="176"/>
      <c r="C1" s="172"/>
      <c r="D1" s="176"/>
    </row>
    <row r="2" spans="1:4" ht="15.75">
      <c r="A2" s="163" t="str">
        <f ca="1">Database!E4</f>
        <v>S202033PABXBB06B</v>
      </c>
      <c r="B2" s="173"/>
      <c r="C2" s="164"/>
      <c r="D2" s="177"/>
    </row>
    <row r="3" spans="1:4" ht="15">
      <c r="A3" s="165" t="str">
        <f ca="1">Database!E2</f>
        <v>S2020 Modular Managed Ethernet Switch</v>
      </c>
      <c r="B3" s="174"/>
      <c r="C3" s="166"/>
      <c r="D3" s="178"/>
    </row>
    <row r="4" spans="1:4" ht="15">
      <c r="A4" s="165" t="str">
        <f>Database!B5</f>
        <v>Power Supply 1</v>
      </c>
      <c r="B4" s="174"/>
      <c r="C4" s="166"/>
      <c r="D4" s="178"/>
    </row>
    <row r="5" spans="1:4">
      <c r="A5" s="167" t="str">
        <f ca="1">Database!E5</f>
        <v>100-250 Vdc / 110-240 Vac</v>
      </c>
      <c r="B5" s="174"/>
      <c r="C5" s="166"/>
      <c r="D5" s="178"/>
    </row>
    <row r="6" spans="1:4" ht="15">
      <c r="A6" s="165" t="str">
        <f>Database!B9</f>
        <v>Power Supply 2</v>
      </c>
      <c r="B6" s="174"/>
      <c r="C6" s="166"/>
      <c r="D6" s="178"/>
    </row>
    <row r="7" spans="1:4">
      <c r="A7" s="167" t="str">
        <f ca="1">Database!E9</f>
        <v>100-250 Vdc / 110-240 Vac</v>
      </c>
      <c r="B7" s="174"/>
      <c r="C7" s="166"/>
      <c r="D7" s="178"/>
    </row>
    <row r="8" spans="1:4" ht="15">
      <c r="A8" s="165" t="str">
        <f>Database!B14</f>
        <v>Mounting Options</v>
      </c>
      <c r="B8" s="174"/>
      <c r="C8" s="166"/>
      <c r="D8" s="178"/>
    </row>
    <row r="9" spans="1:4">
      <c r="A9" s="167" t="str">
        <f ca="1">Database!E14</f>
        <v>19” Rack Mount / Rear Mount</v>
      </c>
      <c r="B9" s="174"/>
      <c r="C9" s="166"/>
      <c r="D9" s="178"/>
    </row>
    <row r="10" spans="1:4" ht="15">
      <c r="A10" s="165" t="str">
        <f>Database!B18</f>
        <v>Interface Module 1</v>
      </c>
      <c r="B10" s="174"/>
      <c r="C10" s="166"/>
      <c r="D10" s="178"/>
    </row>
    <row r="11" spans="1:4">
      <c r="A11" s="244" t="str">
        <f ca="1">Database!E18</f>
        <v>Four 1 Gbps RJ45 copper 10/100BASE-TX/1000BASE-T Ethernet ports</v>
      </c>
      <c r="B11" s="242"/>
      <c r="C11" s="242"/>
      <c r="D11" s="243"/>
    </row>
    <row r="12" spans="1:4" ht="15">
      <c r="A12" s="165" t="str">
        <f>Database!B33</f>
        <v>Interface Module 2</v>
      </c>
      <c r="B12" s="174"/>
      <c r="C12" s="166"/>
      <c r="D12" s="178"/>
    </row>
    <row r="13" spans="1:4">
      <c r="A13" s="167" t="str">
        <f ca="1">Database!E33</f>
        <v>Four slots for SFP transceivers</v>
      </c>
      <c r="B13" s="174"/>
      <c r="C13" s="166"/>
      <c r="D13" s="178"/>
    </row>
    <row r="14" spans="1:4" ht="15">
      <c r="A14" s="165" t="str">
        <f>Database!B39</f>
        <v>Interface Module 3</v>
      </c>
      <c r="B14" s="174"/>
      <c r="C14" s="166"/>
      <c r="D14" s="178"/>
    </row>
    <row r="15" spans="1:4">
      <c r="A15" s="167" t="str">
        <f ca="1">Database!E39</f>
        <v>Not installed</v>
      </c>
      <c r="B15" s="174"/>
      <c r="C15" s="166"/>
      <c r="D15" s="178"/>
    </row>
    <row r="16" spans="1:4" ht="15">
      <c r="A16" s="165" t="str">
        <f>Database!B45</f>
        <v>Interface Module 4</v>
      </c>
      <c r="B16" s="174"/>
      <c r="C16" s="166"/>
      <c r="D16" s="178"/>
    </row>
    <row r="17" spans="1:4">
      <c r="A17" s="167" t="str">
        <f ca="1">Database!E45</f>
        <v>Four slots for SFP transceivers</v>
      </c>
      <c r="B17" s="174"/>
      <c r="C17" s="166"/>
      <c r="D17" s="178"/>
    </row>
    <row r="18" spans="1:4" ht="15">
      <c r="A18" s="165" t="str">
        <f>Database!B51</f>
        <v>Interface Module 5</v>
      </c>
      <c r="B18" s="174"/>
      <c r="C18" s="166"/>
      <c r="D18" s="178"/>
    </row>
    <row r="19" spans="1:4">
      <c r="A19" s="167" t="str">
        <f ca="1">Database!E51</f>
        <v>Four slots for SFP transceivers</v>
      </c>
      <c r="B19" s="174"/>
      <c r="C19" s="166"/>
      <c r="D19" s="178"/>
    </row>
    <row r="20" spans="1:4" ht="15">
      <c r="A20" s="165" t="str">
        <f>Database!B57</f>
        <v>Firmware Version</v>
      </c>
      <c r="B20" s="174"/>
      <c r="C20" s="166"/>
      <c r="D20" s="178"/>
    </row>
    <row r="21" spans="1:4">
      <c r="A21" s="167" t="str">
        <f ca="1">Database!F57</f>
        <v>06</v>
      </c>
      <c r="B21" s="174"/>
      <c r="C21" s="166"/>
      <c r="D21" s="178"/>
    </row>
    <row r="22" spans="1:4" ht="15">
      <c r="A22" s="165" t="str">
        <f>Database!B60</f>
        <v>Hardware Design Suffix</v>
      </c>
      <c r="B22" s="174"/>
      <c r="C22" s="166"/>
      <c r="D22" s="178"/>
    </row>
    <row r="23" spans="1:4">
      <c r="A23" s="167" t="str">
        <f ca="1">Database!F60</f>
        <v>B</v>
      </c>
      <c r="B23" s="174"/>
      <c r="C23" s="166"/>
      <c r="D23" s="178"/>
    </row>
    <row r="24" spans="1:4" ht="15" thickBot="1">
      <c r="A24" s="168"/>
      <c r="B24" s="175"/>
      <c r="C24" s="169"/>
      <c r="D24" s="179"/>
    </row>
    <row r="25" spans="1:4">
      <c r="A25" s="170"/>
      <c r="B25" s="173"/>
      <c r="C25" s="164"/>
      <c r="D25" s="177"/>
    </row>
    <row r="26" spans="1:4">
      <c r="A26" s="171" t="str">
        <f>HLOOKUP(Language!$C$3,Language!$E$1:$Z528,30,FALSE)</f>
        <v>Issue</v>
      </c>
      <c r="B26" s="174"/>
      <c r="C26" s="166"/>
      <c r="D26" s="178"/>
    </row>
    <row r="27" spans="1:4">
      <c r="A27" s="171"/>
      <c r="B27" s="180" t="s">
        <v>26</v>
      </c>
      <c r="C27" s="181" t="str">
        <f>HLOOKUP(Language!$C$3,Language!$E$1:$Z528,31,FALSE)</f>
        <v>Original created</v>
      </c>
      <c r="D27" s="182">
        <v>42060</v>
      </c>
    </row>
    <row r="28" spans="1:4" s="230" customFormat="1">
      <c r="A28" s="231"/>
      <c r="B28" s="238" t="s">
        <v>27</v>
      </c>
      <c r="C28" s="239" t="str">
        <f>HLOOKUP(Language!$C$3,Language!$E$1:$Z529,52,FALSE)</f>
        <v>Module J, K, L, M Options included and update firmware version to 04</v>
      </c>
      <c r="D28" s="240">
        <f>'Date Drivers'!G2</f>
        <v>42356</v>
      </c>
    </row>
    <row r="29" spans="1:4" s="230" customFormat="1">
      <c r="A29" s="231"/>
      <c r="B29" s="238" t="s">
        <v>29</v>
      </c>
      <c r="C29" s="239" t="str">
        <f>HLOOKUP(Language!$C$3,Language!$E$1:$Z530,53,FALSE)</f>
        <v>Amended hardware design suffix to B</v>
      </c>
      <c r="D29" s="240">
        <f>'Date Drivers'!L2</f>
        <v>42445</v>
      </c>
    </row>
    <row r="30" spans="1:4" s="230" customFormat="1">
      <c r="A30" s="231"/>
      <c r="B30" s="238" t="s">
        <v>30</v>
      </c>
      <c r="C30" s="239" t="str">
        <f>HLOOKUP(Language!$C$3,Language!$E$1:$Z531,55,FALSE)</f>
        <v>New firmware and GE branding</v>
      </c>
      <c r="D30" s="240">
        <f>'Date Drivers'!P2</f>
        <v>42494</v>
      </c>
    </row>
    <row r="31" spans="1:4" s="230" customFormat="1">
      <c r="A31" s="231"/>
      <c r="B31" s="238" t="s">
        <v>42</v>
      </c>
      <c r="C31" s="239" t="str">
        <f>HLOOKUP(Language!$C$3,Language!$E$1:$Z532,56,FALSE)</f>
        <v>Removed firmware version 04, included the Accessories tab</v>
      </c>
      <c r="D31" s="240">
        <f>'Date Drivers'!T2</f>
        <v>42556</v>
      </c>
    </row>
    <row r="32" spans="1:4" s="230" customFormat="1">
      <c r="A32" s="231"/>
      <c r="B32" s="238" t="s">
        <v>43</v>
      </c>
      <c r="C32" s="239" t="str">
        <f>HLOOKUP(Language!$C$3,Language!$E$1:$Z533,67,FALSE)</f>
        <v>Added firmware version 06 and included the 1 Gbps SFP for 120km as accessory</v>
      </c>
      <c r="D32" s="240">
        <f>'Date Drivers'!X2</f>
        <v>42656</v>
      </c>
    </row>
    <row r="33" spans="1:4" s="230" customFormat="1">
      <c r="A33" s="231"/>
      <c r="B33" s="238" t="s">
        <v>188</v>
      </c>
      <c r="C33" s="239" t="str">
        <f>HLOOKUP(Language!$C$3,Language!$E$1:$Z534,72,FALSE)</f>
        <v>Multiple withdraws: Interface Module options J, K &amp; L (refer to GER-4844) and alternate hardware (BL) / Transceiver SFP1GCU01K replaced by SFP1GCU02K</v>
      </c>
      <c r="D33" s="240">
        <f>'Date Drivers'!AB2</f>
        <v>43348</v>
      </c>
    </row>
    <row r="34" spans="1:4" s="230" customFormat="1">
      <c r="A34" s="231"/>
      <c r="B34" s="270" t="s">
        <v>200</v>
      </c>
      <c r="C34" s="239" t="str">
        <f>HLOOKUP(Language!$C$3,Language!$E$1:$Z535,75,FALSE)</f>
        <v>Firmware 05 and 06 have been withdrawn as per GE Publication No. GER-4820 and GER-4844.</v>
      </c>
      <c r="D34" s="240">
        <v>43678</v>
      </c>
    </row>
    <row r="35" spans="1:4" s="230" customFormat="1">
      <c r="A35" s="231"/>
      <c r="B35" s="271"/>
      <c r="C35" s="239" t="str">
        <f>HLOOKUP(Language!$C$3,Language!$E$1:$Z536,76,FALSE)</f>
        <v>This Cortec file has be superseded by the S20 Cortec File; please reference the S20 Cortec file for your current ordering needs.</v>
      </c>
      <c r="D35" s="240">
        <f>D34</f>
        <v>43678</v>
      </c>
    </row>
    <row r="36" spans="1:4" ht="15" thickBot="1">
      <c r="A36" s="168"/>
      <c r="B36" s="183"/>
      <c r="C36" s="184"/>
      <c r="D36" s="185"/>
    </row>
  </sheetData>
  <sheetProtection password="C927" sheet="1" objects="1" scenarios="1"/>
  <mergeCells count="1">
    <mergeCell ref="B34:B35"/>
  </mergeCells>
  <pageMargins left="0.511811024" right="0.511811024" top="0.78740157499999996" bottom="0.78740157499999996" header="0.31496062000000002" footer="0.31496062000000002"/>
  <pageSetup paperSize="9" orientation="portrait" r:id="rId1"/>
  <ignoredErrors>
    <ignoredError sqref="A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showGridLines="0" workbookViewId="0">
      <selection activeCell="C24" sqref="C24"/>
    </sheetView>
  </sheetViews>
  <sheetFormatPr defaultRowHeight="14.25"/>
  <cols>
    <col min="1" max="1" width="22.28515625" style="247" customWidth="1"/>
    <col min="2" max="3" width="21.5703125" style="247" customWidth="1"/>
    <col min="4" max="4" width="19.140625" style="247" customWidth="1"/>
    <col min="5" max="5" width="33.7109375" style="247" customWidth="1"/>
    <col min="6" max="16384" width="9.140625" style="247"/>
  </cols>
  <sheetData>
    <row r="1" spans="1:5" ht="20.25">
      <c r="A1" s="256" t="str">
        <f>HLOOKUP(Language!$C$3,Language!$E$1:$Z536,77,FALSE)</f>
        <v>THIS CORTEC FILE HAS BEEN REPLACED BY THE S20 CORTEC FILE</v>
      </c>
    </row>
    <row r="2" spans="1:5" s="248" customFormat="1" ht="19.5" customHeight="1">
      <c r="A2" s="273" t="str">
        <f>HLOOKUP(Language!$C$3,Language!$E$1:$Z529,57,FALSE)</f>
        <v>Accessories</v>
      </c>
      <c r="B2" s="274"/>
      <c r="C2" s="274"/>
      <c r="D2" s="274"/>
      <c r="E2" s="275"/>
    </row>
    <row r="3" spans="1:5" ht="17.25" customHeight="1">
      <c r="A3" s="253" t="str">
        <f>HLOOKUP(Language!$C$3,Language!$E$1:$Z529,58,FALSE)</f>
        <v>Code</v>
      </c>
      <c r="B3" s="276" t="str">
        <f>HLOOKUP(Language!$C$3,Language!$E$1:$Z529,59,FALSE)</f>
        <v>Description</v>
      </c>
      <c r="C3" s="276"/>
      <c r="D3" s="276"/>
      <c r="E3" s="276"/>
    </row>
    <row r="4" spans="1:5" ht="8.25" customHeight="1">
      <c r="A4" s="251"/>
      <c r="B4" s="251"/>
      <c r="C4" s="251"/>
      <c r="D4" s="251"/>
      <c r="E4" s="251"/>
    </row>
    <row r="5" spans="1:5" ht="24" customHeight="1">
      <c r="A5" s="255" t="s">
        <v>189</v>
      </c>
      <c r="B5" s="272" t="str">
        <f>HLOOKUP(Language!$C$3,Language!$E$1:$Z529,60,FALSE)</f>
        <v>SFP Transceiver 10/100/1000Mbps, RJ45 connector</v>
      </c>
      <c r="C5" s="272"/>
      <c r="D5" s="272"/>
      <c r="E5" s="272"/>
    </row>
    <row r="6" spans="1:5" s="249" customFormat="1" ht="24" customHeight="1">
      <c r="A6" s="252" t="s">
        <v>143</v>
      </c>
      <c r="B6" s="272" t="str">
        <f>HLOOKUP(Language!$C$3,Language!$E$1:$Z529,61,FALSE)</f>
        <v>SFP Transceiver 1000Mbps LC single mode, 1310nm wavelength, 10km</v>
      </c>
      <c r="C6" s="272"/>
      <c r="D6" s="272"/>
      <c r="E6" s="272"/>
    </row>
    <row r="7" spans="1:5" s="249" customFormat="1" ht="24" customHeight="1">
      <c r="A7" s="252" t="s">
        <v>144</v>
      </c>
      <c r="B7" s="272" t="str">
        <f>HLOOKUP(Language!$C$3,Language!$E$1:$Z529,62,FALSE)</f>
        <v>SFP Transceiver 1000Mbps LC single mode, 1310nm wavelength, 40km</v>
      </c>
      <c r="C7" s="272"/>
      <c r="D7" s="272"/>
      <c r="E7" s="272"/>
    </row>
    <row r="8" spans="1:5" s="249" customFormat="1" ht="24" customHeight="1">
      <c r="A8" s="252" t="s">
        <v>145</v>
      </c>
      <c r="B8" s="272" t="str">
        <f>HLOOKUP(Language!$C$3,Language!$E$1:$Z529,63,FALSE)</f>
        <v>SFP Transceiver 1000Mbps LC single mode, 1550nm wavelength, 80km</v>
      </c>
      <c r="C8" s="272"/>
      <c r="D8" s="272"/>
      <c r="E8" s="272"/>
    </row>
    <row r="9" spans="1:5" s="249" customFormat="1" ht="24" customHeight="1">
      <c r="A9" s="252" t="s">
        <v>174</v>
      </c>
      <c r="B9" s="272" t="str">
        <f>HLOOKUP(Language!$C$3,Language!$E$1:$Z530,66,FALSE)</f>
        <v>SFP Transceiver 1000Mbps LC single mode, 1550nm wavelength, 120km </v>
      </c>
      <c r="C9" s="272"/>
      <c r="D9" s="272"/>
      <c r="E9" s="272"/>
    </row>
    <row r="10" spans="1:5" s="249" customFormat="1" ht="24" customHeight="1">
      <c r="A10" s="252" t="s">
        <v>146</v>
      </c>
      <c r="B10" s="272" t="str">
        <f>HLOOKUP(Language!$C$3,Language!$E$1:$Z529,64,FALSE)</f>
        <v>SFP Transceiver 1000Mbps LC multi mode, 850nm wavelength, 500m</v>
      </c>
      <c r="C10" s="272"/>
      <c r="D10" s="272"/>
      <c r="E10" s="272"/>
    </row>
    <row r="11" spans="1:5" s="249" customFormat="1" ht="24" customHeight="1">
      <c r="A11" s="252" t="s">
        <v>147</v>
      </c>
      <c r="B11" s="272" t="str">
        <f>HLOOKUP(Language!$C$3,Language!$E$1:$Z529,65,FALSE)</f>
        <v>SFP Transceiver 100Mbps LC multi mode, 1310nm wavelength, 2km</v>
      </c>
      <c r="C11" s="272"/>
      <c r="D11" s="272"/>
      <c r="E11" s="272"/>
    </row>
    <row r="12" spans="1:5" ht="24" customHeight="1">
      <c r="A12" s="255" t="s">
        <v>187</v>
      </c>
      <c r="B12" s="272" t="str">
        <f>HLOOKUP(Language!$C$3,Language!$E$1:$Z536,74,FALSE)</f>
        <v>SFP Transceiver 10/100/1000Mbps, RJ45 connector, not CE Market (Withdraw)</v>
      </c>
      <c r="C12" s="272"/>
      <c r="D12" s="272"/>
      <c r="E12" s="272"/>
    </row>
    <row r="13" spans="1:5">
      <c r="B13" s="250"/>
      <c r="C13" s="250"/>
      <c r="D13" s="250"/>
      <c r="E13" s="250"/>
    </row>
    <row r="14" spans="1:5">
      <c r="B14" s="250"/>
      <c r="C14" s="250"/>
      <c r="D14" s="250"/>
      <c r="E14" s="250"/>
    </row>
    <row r="15" spans="1:5">
      <c r="B15" s="250"/>
      <c r="C15" s="250"/>
      <c r="D15" s="250"/>
      <c r="E15" s="250"/>
    </row>
    <row r="16" spans="1:5">
      <c r="B16" s="250"/>
      <c r="C16" s="250"/>
      <c r="D16" s="250"/>
      <c r="E16" s="250"/>
    </row>
    <row r="17" spans="2:5">
      <c r="B17" s="250"/>
      <c r="C17" s="250"/>
      <c r="D17" s="250"/>
      <c r="E17" s="250"/>
    </row>
    <row r="18" spans="2:5">
      <c r="B18" s="250"/>
      <c r="C18" s="250"/>
      <c r="D18" s="250"/>
      <c r="E18" s="250"/>
    </row>
    <row r="19" spans="2:5">
      <c r="B19" s="250"/>
      <c r="C19" s="250"/>
      <c r="D19" s="250"/>
      <c r="E19" s="250"/>
    </row>
    <row r="20" spans="2:5">
      <c r="B20" s="250"/>
      <c r="C20" s="250"/>
      <c r="D20" s="250"/>
      <c r="E20" s="250"/>
    </row>
  </sheetData>
  <sheetProtection password="C927" sheet="1" objects="1" scenarios="1"/>
  <mergeCells count="10">
    <mergeCell ref="B9:E9"/>
    <mergeCell ref="B10:E10"/>
    <mergeCell ref="B11:E11"/>
    <mergeCell ref="B12:E12"/>
    <mergeCell ref="A2:E2"/>
    <mergeCell ref="B3:E3"/>
    <mergeCell ref="B6:E6"/>
    <mergeCell ref="B7:E7"/>
    <mergeCell ref="B8:E8"/>
    <mergeCell ref="B5:E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5"/>
  <dimension ref="A1:K63"/>
  <sheetViews>
    <sheetView showGridLines="0" zoomScaleNormal="100" workbookViewId="0">
      <selection activeCell="E1" sqref="E1"/>
    </sheetView>
  </sheetViews>
  <sheetFormatPr defaultRowHeight="12"/>
  <cols>
    <col min="1" max="1" width="5.28515625" style="3" customWidth="1"/>
    <col min="2" max="2" width="30.7109375" style="2" customWidth="1"/>
    <col min="3" max="4" width="3.85546875" style="3" customWidth="1"/>
    <col min="5" max="5" width="91.140625" style="2" bestFit="1" customWidth="1"/>
    <col min="6" max="6" width="5.85546875" style="3" customWidth="1"/>
    <col min="7" max="8" width="10.7109375" style="122" customWidth="1"/>
    <col min="9" max="9" width="9.140625" style="2"/>
    <col min="10" max="10" width="29.28515625" style="2" customWidth="1"/>
    <col min="11" max="11" width="19.28515625" style="2" customWidth="1"/>
    <col min="12" max="16384" width="9.140625" style="2"/>
  </cols>
  <sheetData>
    <row r="1" spans="1:11">
      <c r="B1" s="215" t="s">
        <v>32</v>
      </c>
      <c r="C1" s="213"/>
      <c r="D1" s="213"/>
      <c r="E1" s="21">
        <v>43348</v>
      </c>
      <c r="G1" s="123" t="s">
        <v>45</v>
      </c>
      <c r="H1" s="123" t="s">
        <v>40</v>
      </c>
      <c r="J1" s="84" t="s">
        <v>33</v>
      </c>
      <c r="K1" s="76" t="str">
        <f>ADDRESS(1,MATCH(E1,'Date Drivers'!A2:ZZ2,0),1,1,"Date Drivers")</f>
        <v>'Date Drivers'!$AB$1</v>
      </c>
    </row>
    <row r="2" spans="1:11">
      <c r="B2" s="215" t="str">
        <f>INDEX('Date Drivers'!$A$1:$B$333,4,2)</f>
        <v>Model Type</v>
      </c>
      <c r="C2" s="213"/>
      <c r="D2" s="213"/>
      <c r="E2" s="217" t="str">
        <f ca="1">INDEX(INDIRECT($K$1&amp;":"&amp;$K$2),4,1)</f>
        <v>S2020 Modular Managed Ethernet Switch</v>
      </c>
      <c r="G2" s="123">
        <f ca="1">INDEX(INDIRECT($K$1&amp;":"&amp;$K$2),5,3)</f>
        <v>0</v>
      </c>
      <c r="H2" s="123" t="str">
        <f ca="1">INDEX(INDIRECT($K$1&amp;":"&amp;$K$2),5,4)</f>
        <v>Y</v>
      </c>
      <c r="J2" s="84" t="s">
        <v>34</v>
      </c>
      <c r="K2" s="76" t="str">
        <f>ADDRESS(500,MATCH(E1,'Date Drivers'!A2:ZZ2,0)+4,1,1)</f>
        <v>$AF$500</v>
      </c>
    </row>
    <row r="3" spans="1:11">
      <c r="B3" s="215" t="s">
        <v>106</v>
      </c>
      <c r="C3" s="213"/>
      <c r="D3" s="213"/>
      <c r="E3" s="217" t="str">
        <f>'Date Drivers'!C5</f>
        <v>S2020</v>
      </c>
      <c r="G3" s="123"/>
      <c r="H3" s="123"/>
      <c r="J3" s="133"/>
      <c r="K3" s="8"/>
    </row>
    <row r="4" spans="1:11">
      <c r="B4" s="216" t="s">
        <v>109</v>
      </c>
      <c r="C4" s="214"/>
      <c r="D4" s="214"/>
      <c r="E4" s="217" t="str">
        <f ca="1">CONCATENATE(E3,F5,F9,F14,F18,F33,F39,F45,F51,F57,F60,)</f>
        <v>S202033PABXBB06B</v>
      </c>
      <c r="G4" s="123"/>
      <c r="H4" s="123"/>
      <c r="J4" s="22"/>
    </row>
    <row r="5" spans="1:11">
      <c r="A5" s="25">
        <v>1</v>
      </c>
      <c r="B5" s="75" t="str">
        <f>INDEX('Date Drivers'!$A$1:$B$333,Database!C6,2)</f>
        <v>Power Supply 1</v>
      </c>
      <c r="C5" s="74"/>
      <c r="D5" s="77">
        <v>2</v>
      </c>
      <c r="E5" s="78" t="str">
        <f ca="1">VLOOKUP(D5,D6:F7,2,FALSE)</f>
        <v>100-250 Vdc / 110-240 Vac</v>
      </c>
      <c r="F5" s="77">
        <f ca="1">VLOOKUP(D5,D6:F7,3,FALSE)</f>
        <v>3</v>
      </c>
      <c r="G5" s="77">
        <f ca="1">VLOOKUP(D5,D6:H7,4,FALSE)</f>
        <v>0</v>
      </c>
      <c r="H5" s="77" t="str">
        <f ca="1">VLOOKUP(D5,D6:H7,5,FALSE)</f>
        <v>Y</v>
      </c>
      <c r="J5" s="22"/>
    </row>
    <row r="6" spans="1:11">
      <c r="A6" s="22"/>
      <c r="B6" s="22"/>
      <c r="C6" s="10">
        <f>MATCH(A5,'Date Drivers'!$A$1:$A$333,0)</f>
        <v>6</v>
      </c>
      <c r="D6" s="10">
        <v>1</v>
      </c>
      <c r="E6" s="79" t="str">
        <f ca="1">INDEX(INDIRECT($K$1&amp;":"&amp;$K$2),C6,1)</f>
        <v>24-48 Vdc</v>
      </c>
      <c r="F6" s="10">
        <f ca="1">INDEX(INDIRECT($K$1&amp;":"&amp;$K$2),C6,2)</f>
        <v>1</v>
      </c>
      <c r="G6" s="221">
        <f ca="1">INDEX(INDIRECT($K$1&amp;":"&amp;$K$2),C6,3)</f>
        <v>0</v>
      </c>
      <c r="H6" s="218" t="str">
        <f ca="1">INDEX(INDIRECT($K$1&amp;":"&amp;$K$2),C6,4)</f>
        <v>Y</v>
      </c>
      <c r="J6" s="22"/>
    </row>
    <row r="7" spans="1:11">
      <c r="A7" s="22"/>
      <c r="B7" s="22"/>
      <c r="C7" s="10">
        <f>C6+1</f>
        <v>7</v>
      </c>
      <c r="D7" s="10">
        <v>2</v>
      </c>
      <c r="E7" s="79" t="str">
        <f ca="1">INDEX(INDIRECT($K$1&amp;":"&amp;$K$2),C7,1)</f>
        <v>100-250 Vdc / 110-240 Vac</v>
      </c>
      <c r="F7" s="10">
        <f ca="1">INDEX(INDIRECT($K$1&amp;":"&amp;$K$2),C7,2)</f>
        <v>3</v>
      </c>
      <c r="G7" s="222">
        <f ca="1">INDEX(INDIRECT($K$1&amp;":"&amp;$K$2),C7,3)</f>
        <v>0</v>
      </c>
      <c r="H7" s="219" t="str">
        <f ca="1">INDEX(INDIRECT($K$1&amp;":"&amp;$K$2),C7,4)</f>
        <v>Y</v>
      </c>
      <c r="J7" s="22"/>
    </row>
    <row r="8" spans="1:11">
      <c r="A8" s="28"/>
      <c r="B8" s="28"/>
      <c r="C8" s="81"/>
      <c r="D8" s="81"/>
      <c r="E8" s="79"/>
      <c r="F8" s="10"/>
      <c r="G8" s="223"/>
      <c r="H8" s="220"/>
      <c r="J8" s="22"/>
    </row>
    <row r="9" spans="1:11">
      <c r="A9" s="25">
        <v>2</v>
      </c>
      <c r="B9" s="75" t="str">
        <f>INDEX('Date Drivers'!$A$1:$B$333,Database!C10,2)</f>
        <v>Power Supply 2</v>
      </c>
      <c r="C9" s="74"/>
      <c r="D9" s="77">
        <v>2</v>
      </c>
      <c r="E9" s="78" t="str">
        <f ca="1">VLOOKUP(D9,D10:F12,2,FALSE)</f>
        <v>100-250 Vdc / 110-240 Vac</v>
      </c>
      <c r="F9" s="77">
        <f ca="1">VLOOKUP(D9,D10:F12,3,FALSE)</f>
        <v>3</v>
      </c>
      <c r="G9" s="77">
        <f ca="1">VLOOKUP(D9,D10:H12,4,FALSE)</f>
        <v>0</v>
      </c>
      <c r="H9" s="77" t="str">
        <f ca="1">VLOOKUP(D9,D10:H12,5,FALSE)</f>
        <v>Y</v>
      </c>
    </row>
    <row r="10" spans="1:11">
      <c r="A10" s="22"/>
      <c r="B10" s="22"/>
      <c r="C10" s="10">
        <f>MATCH(A9,'Date Drivers'!$A$1:$A$333,0)</f>
        <v>9</v>
      </c>
      <c r="D10" s="10">
        <v>1</v>
      </c>
      <c r="E10" s="79" t="str">
        <f ca="1">INDEX(INDIRECT($K$1&amp;":"&amp;$K$2),C10,1)</f>
        <v>24-48 Vdc</v>
      </c>
      <c r="F10" s="10">
        <f ca="1">INDEX(INDIRECT($K$1&amp;":"&amp;$K$2),C10,2)</f>
        <v>1</v>
      </c>
      <c r="G10" s="221">
        <f ca="1">INDEX(INDIRECT($K$1&amp;":"&amp;$K$2),C10,3)</f>
        <v>0</v>
      </c>
      <c r="H10" s="218" t="str">
        <f ca="1">INDEX(INDIRECT($K$1&amp;":"&amp;$K$2),C10,4)</f>
        <v>Y</v>
      </c>
    </row>
    <row r="11" spans="1:11">
      <c r="A11" s="22"/>
      <c r="B11" s="22"/>
      <c r="C11" s="10">
        <f>C10+1</f>
        <v>10</v>
      </c>
      <c r="D11" s="10">
        <f>D10+1</f>
        <v>2</v>
      </c>
      <c r="E11" s="79" t="str">
        <f ca="1">INDEX(INDIRECT($K$1&amp;":"&amp;$K$2),C11,1)</f>
        <v>100-250 Vdc / 110-240 Vac</v>
      </c>
      <c r="F11" s="10">
        <f ca="1">INDEX(INDIRECT($K$1&amp;":"&amp;$K$2),C11,2)</f>
        <v>3</v>
      </c>
      <c r="G11" s="222">
        <f ca="1">INDEX(INDIRECT($K$1&amp;":"&amp;$K$2),C11,3)</f>
        <v>0</v>
      </c>
      <c r="H11" s="219" t="str">
        <f ca="1">INDEX(INDIRECT($K$1&amp;":"&amp;$K$2),C11,4)</f>
        <v>Y</v>
      </c>
    </row>
    <row r="12" spans="1:11">
      <c r="A12" s="22"/>
      <c r="B12" s="22"/>
      <c r="C12" s="10">
        <f>C11+1</f>
        <v>11</v>
      </c>
      <c r="D12" s="10">
        <f>D11+1</f>
        <v>3</v>
      </c>
      <c r="E12" s="79" t="str">
        <f ca="1">INDEX(INDIRECT($K$1&amp;":"&amp;$K$2),C12,1)</f>
        <v>Not installed</v>
      </c>
      <c r="F12" s="10" t="str">
        <f ca="1">INDEX(INDIRECT($K$1&amp;":"&amp;$K$2),C12,2)</f>
        <v>X</v>
      </c>
      <c r="G12" s="222">
        <f ca="1">INDEX(INDIRECT($K$1&amp;":"&amp;$K$2),C12,3)</f>
        <v>0</v>
      </c>
      <c r="H12" s="219" t="str">
        <f ca="1">INDEX(INDIRECT($K$1&amp;":"&amp;$K$2),C12,4)</f>
        <v>Y</v>
      </c>
    </row>
    <row r="13" spans="1:11">
      <c r="B13" s="22"/>
      <c r="C13" s="10"/>
      <c r="D13" s="10"/>
      <c r="E13" s="79"/>
      <c r="F13" s="10"/>
      <c r="G13" s="223"/>
      <c r="H13" s="220"/>
    </row>
    <row r="14" spans="1:11">
      <c r="A14" s="25">
        <v>3</v>
      </c>
      <c r="B14" s="73" t="str">
        <f>INDEX('Date Drivers'!$A$1:$B$333,Database!C15,2)</f>
        <v>Mounting Options</v>
      </c>
      <c r="C14" s="74"/>
      <c r="D14" s="77">
        <v>1</v>
      </c>
      <c r="E14" s="78" t="str">
        <f ca="1">VLOOKUP(D14,D15:F16,2,FALSE)</f>
        <v>19” Rack Mount / Rear Mount</v>
      </c>
      <c r="F14" s="77" t="str">
        <f ca="1">VLOOKUP(D14,D15:F16,3,FALSE)</f>
        <v>P</v>
      </c>
      <c r="G14" s="77">
        <f ca="1">VLOOKUP(D14,D15:H16,4,FALSE)</f>
        <v>0</v>
      </c>
      <c r="H14" s="77" t="str">
        <f ca="1">VLOOKUP(D14,D15:H16,5,FALSE)</f>
        <v>Y</v>
      </c>
    </row>
    <row r="15" spans="1:11">
      <c r="A15" s="22"/>
      <c r="B15" s="22"/>
      <c r="C15" s="10">
        <f>MATCH(A14,'Date Drivers'!$A$1:$A$333,0)</f>
        <v>13</v>
      </c>
      <c r="D15" s="10">
        <v>1</v>
      </c>
      <c r="E15" s="79" t="str">
        <f ca="1">INDEX(INDIRECT($K$1&amp;":"&amp;$K$2),C15,1)</f>
        <v>19” Rack Mount / Rear Mount</v>
      </c>
      <c r="F15" s="10" t="str">
        <f ca="1">INDEX(INDIRECT($K$1&amp;":"&amp;$K$2),C15,2)</f>
        <v>P</v>
      </c>
      <c r="G15" s="221">
        <f ca="1">INDEX(INDIRECT($K$1&amp;":"&amp;$K$2),C15,3)</f>
        <v>0</v>
      </c>
      <c r="H15" s="218" t="str">
        <f ca="1">INDEX(INDIRECT($K$1&amp;":"&amp;$K$2),C15,4)</f>
        <v>Y</v>
      </c>
    </row>
    <row r="16" spans="1:11">
      <c r="A16" s="22"/>
      <c r="B16" s="22"/>
      <c r="C16" s="10"/>
      <c r="D16" s="10"/>
      <c r="E16" s="79"/>
      <c r="F16" s="10"/>
      <c r="G16" s="222"/>
      <c r="H16" s="219"/>
    </row>
    <row r="17" spans="1:8">
      <c r="C17" s="10"/>
      <c r="D17" s="10"/>
      <c r="E17" s="79"/>
      <c r="F17" s="10"/>
      <c r="G17" s="223"/>
      <c r="H17" s="220"/>
    </row>
    <row r="18" spans="1:8">
      <c r="A18" s="25">
        <v>4</v>
      </c>
      <c r="B18" s="73" t="str">
        <f>INDEX('Date Drivers'!$A$1:$B$333,Database!C19,2)</f>
        <v>Interface Module 1</v>
      </c>
      <c r="C18" s="74"/>
      <c r="D18" s="77">
        <v>1</v>
      </c>
      <c r="E18" s="78" t="str">
        <f ca="1">VLOOKUP(D18,D19:F31,2,FALSE)</f>
        <v>Four 1 Gbps RJ45 copper 10/100BASE-TX/1000BASE-T Ethernet ports</v>
      </c>
      <c r="F18" s="77" t="str">
        <f ca="1">VLOOKUP(D18,D19:F31,3,FALSE)</f>
        <v>A</v>
      </c>
      <c r="G18" s="77">
        <f ca="1">VLOOKUP(D18,D19:H31,4,FALSE)</f>
        <v>0</v>
      </c>
      <c r="H18" s="77" t="str">
        <f ca="1">VLOOKUP(D18,D19:H31,5,FALSE)</f>
        <v>Y</v>
      </c>
    </row>
    <row r="19" spans="1:8">
      <c r="A19" s="22"/>
      <c r="B19" s="22"/>
      <c r="C19" s="82">
        <f>MATCH(A18,'Date Drivers'!$A$1:$A$333,0)</f>
        <v>16</v>
      </c>
      <c r="D19" s="82">
        <v>1</v>
      </c>
      <c r="E19" s="83" t="str">
        <f t="shared" ref="E19:E27" ca="1" si="0">INDEX(INDIRECT($K$1&amp;":"&amp;$K$2),C19,1)</f>
        <v>Four 1 Gbps RJ45 copper 10/100BASE-TX/1000BASE-T Ethernet ports</v>
      </c>
      <c r="F19" s="82" t="str">
        <f t="shared" ref="F19:F27" ca="1" si="1">INDEX(INDIRECT($K$1&amp;":"&amp;$K$2),C19,2)</f>
        <v>A</v>
      </c>
      <c r="G19" s="221">
        <f t="shared" ref="G19:G27" ca="1" si="2">INDEX(INDIRECT($K$1&amp;":"&amp;$K$2),C19,3)</f>
        <v>0</v>
      </c>
      <c r="H19" s="218" t="str">
        <f t="shared" ref="H19:H27" ca="1" si="3">INDEX(INDIRECT($K$1&amp;":"&amp;$K$2),C19,4)</f>
        <v>Y</v>
      </c>
    </row>
    <row r="20" spans="1:8">
      <c r="A20" s="22"/>
      <c r="B20" s="22"/>
      <c r="C20" s="10">
        <f t="shared" ref="C20:D22" si="4">C19+1</f>
        <v>17</v>
      </c>
      <c r="D20" s="10">
        <f t="shared" si="4"/>
        <v>2</v>
      </c>
      <c r="E20" s="79" t="str">
        <f t="shared" ca="1" si="0"/>
        <v>Four slots for SFP transceivers</v>
      </c>
      <c r="F20" s="10" t="str">
        <f t="shared" ca="1" si="1"/>
        <v>B</v>
      </c>
      <c r="G20" s="222">
        <f t="shared" ca="1" si="2"/>
        <v>0</v>
      </c>
      <c r="H20" s="219" t="str">
        <f t="shared" ca="1" si="3"/>
        <v>Y</v>
      </c>
    </row>
    <row r="21" spans="1:8">
      <c r="A21" s="22"/>
      <c r="B21" s="22"/>
      <c r="C21" s="10">
        <f t="shared" si="4"/>
        <v>18</v>
      </c>
      <c r="D21" s="10">
        <f t="shared" si="4"/>
        <v>3</v>
      </c>
      <c r="E21" s="79" t="str">
        <f t="shared" ca="1" si="0"/>
        <v>Four 1 Gbps LC-type connector multi mode fiber 1000BASE-SX Ethernet for up to 0.5 km</v>
      </c>
      <c r="F21" s="10" t="str">
        <f t="shared" ca="1" si="1"/>
        <v>C</v>
      </c>
      <c r="G21" s="222">
        <f t="shared" ca="1" si="2"/>
        <v>0</v>
      </c>
      <c r="H21" s="219" t="str">
        <f t="shared" ca="1" si="3"/>
        <v>Y</v>
      </c>
    </row>
    <row r="22" spans="1:8">
      <c r="B22" s="22"/>
      <c r="C22" s="10">
        <f t="shared" si="4"/>
        <v>19</v>
      </c>
      <c r="D22" s="10">
        <f t="shared" si="4"/>
        <v>4</v>
      </c>
      <c r="E22" s="79" t="str">
        <f t="shared" ca="1" si="0"/>
        <v>Four 1 Gbps LC-type connector single mode fiber 1000BASE-LX Ethernet for up to 10 km</v>
      </c>
      <c r="F22" s="10" t="str">
        <f t="shared" ca="1" si="1"/>
        <v>D</v>
      </c>
      <c r="G22" s="222">
        <f t="shared" ca="1" si="2"/>
        <v>0</v>
      </c>
      <c r="H22" s="219" t="str">
        <f t="shared" ca="1" si="3"/>
        <v>Y</v>
      </c>
    </row>
    <row r="23" spans="1:8">
      <c r="B23" s="22"/>
      <c r="C23" s="10">
        <f t="shared" ref="C23:D27" si="5">C22+1</f>
        <v>20</v>
      </c>
      <c r="D23" s="10">
        <f t="shared" si="5"/>
        <v>5</v>
      </c>
      <c r="E23" s="79" t="str">
        <f t="shared" ca="1" si="0"/>
        <v>Four 1 Gbps LC-type connector single mode fiber 1000BASE-ZX Ethernet for up to 40 km</v>
      </c>
      <c r="F23" s="10" t="str">
        <f t="shared" ca="1" si="1"/>
        <v>E</v>
      </c>
      <c r="G23" s="222">
        <f t="shared" ca="1" si="2"/>
        <v>0</v>
      </c>
      <c r="H23" s="219" t="str">
        <f t="shared" ca="1" si="3"/>
        <v>Y</v>
      </c>
    </row>
    <row r="24" spans="1:8">
      <c r="B24" s="22"/>
      <c r="C24" s="10">
        <f t="shared" si="5"/>
        <v>21</v>
      </c>
      <c r="D24" s="10">
        <f t="shared" si="5"/>
        <v>6</v>
      </c>
      <c r="E24" s="79" t="str">
        <f t="shared" ca="1" si="0"/>
        <v>Four 1 Gbps LC-type connector single mode fiber 1000BASE-ZX Ethernet for up to 80 km</v>
      </c>
      <c r="F24" s="10" t="str">
        <f t="shared" ca="1" si="1"/>
        <v>F</v>
      </c>
      <c r="G24" s="222">
        <f t="shared" ca="1" si="2"/>
        <v>0</v>
      </c>
      <c r="H24" s="219" t="str">
        <f t="shared" ca="1" si="3"/>
        <v>Y</v>
      </c>
    </row>
    <row r="25" spans="1:8">
      <c r="B25" s="22"/>
      <c r="C25" s="10">
        <f t="shared" si="5"/>
        <v>22</v>
      </c>
      <c r="D25" s="10">
        <f t="shared" si="5"/>
        <v>7</v>
      </c>
      <c r="E25" s="79" t="str">
        <f t="shared" ca="1" si="0"/>
        <v>Four 100 Mbps LC-type connector multi mode fiber 100BASE-FX Ethernet for up to 2 km</v>
      </c>
      <c r="F25" s="10" t="str">
        <f t="shared" ca="1" si="1"/>
        <v>H</v>
      </c>
      <c r="G25" s="222">
        <f t="shared" ca="1" si="2"/>
        <v>0</v>
      </c>
      <c r="H25" s="219" t="str">
        <f t="shared" ca="1" si="3"/>
        <v>Y</v>
      </c>
    </row>
    <row r="26" spans="1:8">
      <c r="B26" s="22"/>
      <c r="C26" s="10">
        <f t="shared" si="5"/>
        <v>23</v>
      </c>
      <c r="D26" s="10">
        <f t="shared" si="5"/>
        <v>8</v>
      </c>
      <c r="E26" s="79" t="str">
        <f t="shared" ca="1" si="0"/>
        <v>Four RJ45 copper 10/100BASE-TX</v>
      </c>
      <c r="F26" s="10" t="str">
        <f t="shared" ca="1" si="1"/>
        <v>I</v>
      </c>
      <c r="G26" s="222">
        <f t="shared" ca="1" si="2"/>
        <v>0</v>
      </c>
      <c r="H26" s="219" t="str">
        <f t="shared" ca="1" si="3"/>
        <v>Y</v>
      </c>
    </row>
    <row r="27" spans="1:8">
      <c r="B27" s="22"/>
      <c r="C27" s="10">
        <f t="shared" si="5"/>
        <v>24</v>
      </c>
      <c r="D27" s="10">
        <f t="shared" si="5"/>
        <v>9</v>
      </c>
      <c r="E27" s="79" t="str">
        <f t="shared" ca="1" si="0"/>
        <v>Two 1 Gbps LC-type connector multi mode fiber 1000BASE-SX Ethernet for up to 0.5 km + Two 100 Mbps LC-type connector multi mode fiber 100BASE-FX Ethernet for up to 2 km</v>
      </c>
      <c r="F27" s="10" t="str">
        <f t="shared" ca="1" si="1"/>
        <v>M</v>
      </c>
      <c r="G27" s="222">
        <f t="shared" ca="1" si="2"/>
        <v>0</v>
      </c>
      <c r="H27" s="219" t="str">
        <f t="shared" ca="1" si="3"/>
        <v>Y</v>
      </c>
    </row>
    <row r="28" spans="1:8" s="226" customFormat="1">
      <c r="A28" s="227"/>
      <c r="B28" s="22"/>
      <c r="C28" s="229">
        <f t="shared" ref="C28:D31" si="6">C27+1</f>
        <v>25</v>
      </c>
      <c r="D28" s="229">
        <f t="shared" si="6"/>
        <v>10</v>
      </c>
      <c r="E28" s="79" t="str">
        <f ca="1">INDEX(INDIRECT($K$1&amp;":"&amp;$K$2),C28,1)</f>
        <v>Four 1 Gbps RJ45 SFP Transceivers 10/100BASE-TX/1000BASE-T Ethernet ports (Not CE marked) (Withdraw)</v>
      </c>
      <c r="F28" s="229" t="str">
        <f ca="1">INDEX(INDIRECT($K$1&amp;":"&amp;$K$2),C28,2)</f>
        <v>J</v>
      </c>
      <c r="G28" s="222">
        <f ca="1">INDEX(INDIRECT($K$1&amp;":"&amp;$K$2),C28,3)</f>
        <v>0</v>
      </c>
      <c r="H28" s="219" t="str">
        <f ca="1">INDEX(INDIRECT($K$1&amp;":"&amp;$K$2),C28,4)</f>
        <v>Y</v>
      </c>
    </row>
    <row r="29" spans="1:8" s="226" customFormat="1">
      <c r="A29" s="227"/>
      <c r="B29" s="22"/>
      <c r="C29" s="229">
        <f t="shared" si="6"/>
        <v>26</v>
      </c>
      <c r="D29" s="229">
        <f t="shared" si="6"/>
        <v>11</v>
      </c>
      <c r="E29" s="79" t="str">
        <f ca="1">INDEX(INDIRECT($K$1&amp;":"&amp;$K$2),C29,1)</f>
        <v>Two 1 Gbps RJ45 SFP Transceivers 10/100BASE-TX/1000BASE-T Ethernet ports + Two 1 Gbps LC-type connector multi mode fiber 1000BASE-SX Ethernet for up to 0.5 km  (Withdraw)</v>
      </c>
      <c r="F29" s="229" t="str">
        <f ca="1">INDEX(INDIRECT($K$1&amp;":"&amp;$K$2),C29,2)</f>
        <v>K</v>
      </c>
      <c r="G29" s="222">
        <f ca="1">INDEX(INDIRECT($K$1&amp;":"&amp;$K$2),C29,3)</f>
        <v>0</v>
      </c>
      <c r="H29" s="219" t="str">
        <f ca="1">INDEX(INDIRECT($K$1&amp;":"&amp;$K$2),C29,4)</f>
        <v>Y</v>
      </c>
    </row>
    <row r="30" spans="1:8" s="226" customFormat="1">
      <c r="A30" s="227"/>
      <c r="B30" s="22"/>
      <c r="C30" s="229">
        <f t="shared" si="6"/>
        <v>27</v>
      </c>
      <c r="D30" s="229">
        <f t="shared" si="6"/>
        <v>12</v>
      </c>
      <c r="E30" s="79" t="str">
        <f ca="1">INDEX(INDIRECT($K$1&amp;":"&amp;$K$2),C30,1)</f>
        <v>Two 1 Gbps RJ45 SFP Transceivers 10/100BASE-TX/1000BASE-T Ethernet ports + Two 100 Mbps LC-type connector multi mode fiber 100BASE-FX Ethernet for up to 2 km (Withdraw)</v>
      </c>
      <c r="F30" s="229" t="str">
        <f ca="1">INDEX(INDIRECT($K$1&amp;":"&amp;$K$2),C30,2)</f>
        <v>L</v>
      </c>
      <c r="G30" s="222">
        <f ca="1">INDEX(INDIRECT($K$1&amp;":"&amp;$K$2),C30,3)</f>
        <v>0</v>
      </c>
      <c r="H30" s="219" t="str">
        <f ca="1">INDEX(INDIRECT($K$1&amp;":"&amp;$K$2),C30,4)</f>
        <v>Y</v>
      </c>
    </row>
    <row r="31" spans="1:8" s="226" customFormat="1">
      <c r="A31" s="227"/>
      <c r="B31" s="22"/>
      <c r="C31" s="229">
        <f t="shared" si="6"/>
        <v>28</v>
      </c>
      <c r="D31" s="229">
        <f t="shared" si="6"/>
        <v>13</v>
      </c>
      <c r="E31" s="79" t="str">
        <f ca="1">INDEX(INDIRECT($K$1&amp;":"&amp;$K$2),C31,1)</f>
        <v>Not installed (Withdraw)</v>
      </c>
      <c r="F31" s="229" t="str">
        <f ca="1">INDEX(INDIRECT($K$1&amp;":"&amp;$K$2),C31,2)</f>
        <v>X</v>
      </c>
      <c r="G31" s="222">
        <f ca="1">INDEX(INDIRECT($K$1&amp;":"&amp;$K$2),C31,3)</f>
        <v>0</v>
      </c>
      <c r="H31" s="219" t="str">
        <f ca="1">INDEX(INDIRECT($K$1&amp;":"&amp;$K$2),C31,4)</f>
        <v>Y</v>
      </c>
    </row>
    <row r="32" spans="1:8">
      <c r="C32" s="13"/>
      <c r="D32" s="13"/>
      <c r="E32" s="80"/>
      <c r="F32" s="13"/>
      <c r="G32" s="223"/>
      <c r="H32" s="220"/>
    </row>
    <row r="33" spans="1:8">
      <c r="A33" s="25">
        <v>5</v>
      </c>
      <c r="B33" s="73" t="str">
        <f>INDEX('Date Drivers'!$A$1:$B$333,Database!C34,2)</f>
        <v>Interface Module 2</v>
      </c>
      <c r="C33" s="74"/>
      <c r="D33" s="77">
        <v>1</v>
      </c>
      <c r="E33" s="78" t="str">
        <f ca="1">VLOOKUP(D33,D34:F37,2,FALSE)</f>
        <v>Four slots for SFP transceivers</v>
      </c>
      <c r="F33" s="77" t="str">
        <f ca="1">VLOOKUP(D33,D34:F37,3,FALSE)</f>
        <v>B</v>
      </c>
      <c r="G33" s="77">
        <f ca="1">VLOOKUP(D33,D34:H37,4,FALSE)</f>
        <v>0</v>
      </c>
      <c r="H33" s="77" t="str">
        <f ca="1">VLOOKUP(D33,D34:H37,5,FALSE)</f>
        <v>Y</v>
      </c>
    </row>
    <row r="34" spans="1:8">
      <c r="A34" s="22"/>
      <c r="B34" s="22"/>
      <c r="C34" s="82">
        <f>MATCH(A33,'Date Drivers'!$A$1:$A$333,0)</f>
        <v>30</v>
      </c>
      <c r="D34" s="82">
        <v>1</v>
      </c>
      <c r="E34" s="83" t="str">
        <f ca="1">INDEX(INDIRECT($K$1&amp;":"&amp;$K$2),C34,1)</f>
        <v>Four slots for SFP transceivers</v>
      </c>
      <c r="F34" s="82" t="str">
        <f ca="1">INDEX(INDIRECT($K$1&amp;":"&amp;$K$2),C34,2)</f>
        <v>B</v>
      </c>
      <c r="G34" s="221">
        <f ca="1">INDEX(INDIRECT($K$1&amp;":"&amp;$K$2),C34,3)</f>
        <v>0</v>
      </c>
      <c r="H34" s="218" t="str">
        <f ca="1">INDEX(INDIRECT($K$1&amp;":"&amp;$K$2),C34,4)</f>
        <v>Y</v>
      </c>
    </row>
    <row r="35" spans="1:8">
      <c r="B35" s="22"/>
      <c r="C35" s="10">
        <f t="shared" ref="C35:D37" si="7">C34+1</f>
        <v>31</v>
      </c>
      <c r="D35" s="10">
        <f t="shared" si="7"/>
        <v>2</v>
      </c>
      <c r="E35" s="79" t="str">
        <f ca="1">INDEX(INDIRECT($K$1&amp;":"&amp;$K$2),C35,1)</f>
        <v>Four 100 Mbps LC-type connector multi mode fiber 100BASE-FX Ethernet for up to 2 km</v>
      </c>
      <c r="F35" s="10" t="str">
        <f ca="1">INDEX(INDIRECT($K$1&amp;":"&amp;$K$2),C35,2)</f>
        <v>H</v>
      </c>
      <c r="G35" s="222">
        <f ca="1">INDEX(INDIRECT($K$1&amp;":"&amp;$K$2),C35,3)</f>
        <v>0</v>
      </c>
      <c r="H35" s="219" t="str">
        <f ca="1">INDEX(INDIRECT($K$1&amp;":"&amp;$K$2),C35,4)</f>
        <v>Y</v>
      </c>
    </row>
    <row r="36" spans="1:8">
      <c r="B36" s="22"/>
      <c r="C36" s="10">
        <f t="shared" si="7"/>
        <v>32</v>
      </c>
      <c r="D36" s="10">
        <f t="shared" si="7"/>
        <v>3</v>
      </c>
      <c r="E36" s="79" t="str">
        <f ca="1">INDEX(INDIRECT($K$1&amp;":"&amp;$K$2),C36,1)</f>
        <v>Four RJ45 copper 10/100BASE-TX</v>
      </c>
      <c r="F36" s="10" t="str">
        <f ca="1">INDEX(INDIRECT($K$1&amp;":"&amp;$K$2),C36,2)</f>
        <v>I</v>
      </c>
      <c r="G36" s="222">
        <f ca="1">INDEX(INDIRECT($K$1&amp;":"&amp;$K$2),C36,3)</f>
        <v>0</v>
      </c>
      <c r="H36" s="219" t="str">
        <f ca="1">INDEX(INDIRECT($K$1&amp;":"&amp;$K$2),C36,4)</f>
        <v>Y</v>
      </c>
    </row>
    <row r="37" spans="1:8">
      <c r="B37" s="22"/>
      <c r="C37" s="10">
        <f t="shared" si="7"/>
        <v>33</v>
      </c>
      <c r="D37" s="10">
        <f t="shared" si="7"/>
        <v>4</v>
      </c>
      <c r="E37" s="79" t="str">
        <f ca="1">INDEX(INDIRECT($K$1&amp;":"&amp;$K$2),C37,1)</f>
        <v>Not installed</v>
      </c>
      <c r="F37" s="10" t="str">
        <f ca="1">INDEX(INDIRECT($K$1&amp;":"&amp;$K$2),C37,2)</f>
        <v>X</v>
      </c>
      <c r="G37" s="222">
        <f ca="1">INDEX(INDIRECT($K$1&amp;":"&amp;$K$2),C37,3)</f>
        <v>0</v>
      </c>
      <c r="H37" s="219" t="str">
        <f ca="1">INDEX(INDIRECT($K$1&amp;":"&amp;$K$2),C37,4)</f>
        <v>Y</v>
      </c>
    </row>
    <row r="38" spans="1:8">
      <c r="B38" s="22"/>
      <c r="C38" s="10"/>
      <c r="D38" s="10"/>
      <c r="E38" s="79"/>
      <c r="F38" s="10"/>
      <c r="G38" s="223"/>
      <c r="H38" s="220"/>
    </row>
    <row r="39" spans="1:8">
      <c r="A39" s="25">
        <v>6</v>
      </c>
      <c r="B39" s="73" t="str">
        <f>INDEX('Date Drivers'!$A$1:$B$333,Database!C40,2)</f>
        <v>Interface Module 3</v>
      </c>
      <c r="C39" s="74"/>
      <c r="D39" s="77">
        <v>4</v>
      </c>
      <c r="E39" s="78" t="str">
        <f ca="1">VLOOKUP(D39,D40:F43,2,FALSE)</f>
        <v>Not installed</v>
      </c>
      <c r="F39" s="77" t="str">
        <f ca="1">VLOOKUP(D39,D40:F43,3,FALSE)</f>
        <v>X</v>
      </c>
      <c r="G39" s="77">
        <f ca="1">VLOOKUP(D39,D40:H43,4,FALSE)</f>
        <v>0</v>
      </c>
      <c r="H39" s="77" t="str">
        <f ca="1">VLOOKUP(D39,D40:H43,5,FALSE)</f>
        <v>Y</v>
      </c>
    </row>
    <row r="40" spans="1:8">
      <c r="A40" s="22"/>
      <c r="B40" s="22"/>
      <c r="C40" s="82">
        <f>MATCH(A39,'Date Drivers'!$A$1:$A$333,0)</f>
        <v>35</v>
      </c>
      <c r="D40" s="3">
        <v>1</v>
      </c>
      <c r="E40" s="83" t="str">
        <f ca="1">INDEX(INDIRECT($K$1&amp;":"&amp;$K$2),C40,1)</f>
        <v>Four slots for SFP transceivers</v>
      </c>
      <c r="F40" s="82" t="str">
        <f ca="1">INDEX(INDIRECT($K$1&amp;":"&amp;$K$2),C40,2)</f>
        <v>B</v>
      </c>
      <c r="G40" s="221">
        <f ca="1">INDEX(INDIRECT($K$1&amp;":"&amp;$K$2),C40,3)</f>
        <v>0</v>
      </c>
      <c r="H40" s="218" t="str">
        <f ca="1">INDEX(INDIRECT($K$1&amp;":"&amp;$K$2),C40,4)</f>
        <v>Y</v>
      </c>
    </row>
    <row r="41" spans="1:8">
      <c r="B41" s="22"/>
      <c r="C41" s="10">
        <f t="shared" ref="C41:D43" si="8">C40+1</f>
        <v>36</v>
      </c>
      <c r="D41" s="3">
        <f t="shared" si="8"/>
        <v>2</v>
      </c>
      <c r="E41" s="79" t="str">
        <f ca="1">INDEX(INDIRECT($K$1&amp;":"&amp;$K$2),C41,1)</f>
        <v>Four 100 Mbps LC-type connector multi mode fiber 100BASE-FX Ethernet for up to 2 km</v>
      </c>
      <c r="F41" s="10" t="str">
        <f ca="1">INDEX(INDIRECT($K$1&amp;":"&amp;$K$2),C41,2)</f>
        <v>H</v>
      </c>
      <c r="G41" s="222">
        <f ca="1">INDEX(INDIRECT($K$1&amp;":"&amp;$K$2),C41,3)</f>
        <v>0</v>
      </c>
      <c r="H41" s="219" t="str">
        <f ca="1">INDEX(INDIRECT($K$1&amp;":"&amp;$K$2),C41,4)</f>
        <v>Y</v>
      </c>
    </row>
    <row r="42" spans="1:8">
      <c r="C42" s="10">
        <f t="shared" si="8"/>
        <v>37</v>
      </c>
      <c r="D42" s="3">
        <f t="shared" si="8"/>
        <v>3</v>
      </c>
      <c r="E42" s="79" t="str">
        <f ca="1">INDEX(INDIRECT($K$1&amp;":"&amp;$K$2),C42,1)</f>
        <v>Four RJ45 copper 10/100BASE-TX</v>
      </c>
      <c r="F42" s="10" t="str">
        <f ca="1">INDEX(INDIRECT($K$1&amp;":"&amp;$K$2),C42,2)</f>
        <v>I</v>
      </c>
      <c r="G42" s="222">
        <f ca="1">INDEX(INDIRECT($K$1&amp;":"&amp;$K$2),C42,3)</f>
        <v>0</v>
      </c>
      <c r="H42" s="219" t="str">
        <f ca="1">INDEX(INDIRECT($K$1&amp;":"&amp;$K$2),C42,4)</f>
        <v>Y</v>
      </c>
    </row>
    <row r="43" spans="1:8">
      <c r="C43" s="10">
        <f t="shared" si="8"/>
        <v>38</v>
      </c>
      <c r="D43" s="3">
        <f t="shared" si="8"/>
        <v>4</v>
      </c>
      <c r="E43" s="79" t="str">
        <f ca="1">INDEX(INDIRECT($K$1&amp;":"&amp;$K$2),C43,1)</f>
        <v>Not installed</v>
      </c>
      <c r="F43" s="10" t="str">
        <f ca="1">INDEX(INDIRECT($K$1&amp;":"&amp;$K$2),C43,2)</f>
        <v>X</v>
      </c>
      <c r="G43" s="222">
        <f ca="1">INDEX(INDIRECT($K$1&amp;":"&amp;$K$2),C43,3)</f>
        <v>0</v>
      </c>
      <c r="H43" s="219" t="str">
        <f ca="1">INDEX(INDIRECT($K$1&amp;":"&amp;$K$2),C43,4)</f>
        <v>Y</v>
      </c>
    </row>
    <row r="44" spans="1:8">
      <c r="C44" s="13"/>
      <c r="E44" s="80"/>
      <c r="F44" s="13"/>
      <c r="G44" s="223"/>
      <c r="H44" s="220"/>
    </row>
    <row r="45" spans="1:8">
      <c r="A45" s="25">
        <v>7</v>
      </c>
      <c r="B45" s="73" t="str">
        <f>INDEX('Date Drivers'!$A$1:$B$333,Database!C46,2)</f>
        <v>Interface Module 4</v>
      </c>
      <c r="C45" s="74"/>
      <c r="D45" s="77">
        <v>1</v>
      </c>
      <c r="E45" s="78" t="str">
        <f ca="1">VLOOKUP(D45,D46:F49,2,FALSE)</f>
        <v>Four slots for SFP transceivers</v>
      </c>
      <c r="F45" s="77" t="str">
        <f ca="1">VLOOKUP(D45,D46:F49,3,FALSE)</f>
        <v>B</v>
      </c>
      <c r="G45" s="77">
        <f ca="1">VLOOKUP(D45,D46:H49,4,FALSE)</f>
        <v>0</v>
      </c>
      <c r="H45" s="77" t="str">
        <f ca="1">VLOOKUP(D45,D46:H49,5,FALSE)</f>
        <v>Y</v>
      </c>
    </row>
    <row r="46" spans="1:8">
      <c r="A46" s="22"/>
      <c r="B46" s="22"/>
      <c r="C46" s="82">
        <f>MATCH(A45,'Date Drivers'!$A$1:$A$333,0)</f>
        <v>40</v>
      </c>
      <c r="D46" s="82">
        <v>1</v>
      </c>
      <c r="E46" s="83" t="str">
        <f ca="1">INDEX(INDIRECT($K$1&amp;":"&amp;$K$2),C46,1)</f>
        <v>Four slots for SFP transceivers</v>
      </c>
      <c r="F46" s="82" t="str">
        <f ca="1">INDEX(INDIRECT($K$1&amp;":"&amp;$K$2),C46,2)</f>
        <v>B</v>
      </c>
      <c r="G46" s="221">
        <f ca="1">INDEX(INDIRECT($K$1&amp;":"&amp;$K$2),C46,3)</f>
        <v>0</v>
      </c>
      <c r="H46" s="218" t="str">
        <f ca="1">INDEX(INDIRECT($K$1&amp;":"&amp;$K$2),C46,4)</f>
        <v>Y</v>
      </c>
    </row>
    <row r="47" spans="1:8">
      <c r="B47" s="22"/>
      <c r="C47" s="10">
        <f t="shared" ref="C47:D49" si="9">C46+1</f>
        <v>41</v>
      </c>
      <c r="D47" s="3">
        <f t="shared" si="9"/>
        <v>2</v>
      </c>
      <c r="E47" s="79" t="str">
        <f ca="1">INDEX(INDIRECT($K$1&amp;":"&amp;$K$2),C47,1)</f>
        <v>Four 100 Mbps LC-type connector multi mode fiber 100BASE-FX Ethernet for up to 2 km</v>
      </c>
      <c r="F47" s="10" t="str">
        <f ca="1">INDEX(INDIRECT($K$1&amp;":"&amp;$K$2),C47,2)</f>
        <v>H</v>
      </c>
      <c r="G47" s="222">
        <f ca="1">INDEX(INDIRECT($K$1&amp;":"&amp;$K$2),C47,3)</f>
        <v>0</v>
      </c>
      <c r="H47" s="219" t="str">
        <f ca="1">INDEX(INDIRECT($K$1&amp;":"&amp;$K$2),C47,4)</f>
        <v>Y</v>
      </c>
    </row>
    <row r="48" spans="1:8">
      <c r="B48" s="22"/>
      <c r="C48" s="10">
        <f t="shared" si="9"/>
        <v>42</v>
      </c>
      <c r="D48" s="3">
        <f t="shared" si="9"/>
        <v>3</v>
      </c>
      <c r="E48" s="79" t="str">
        <f ca="1">INDEX(INDIRECT($K$1&amp;":"&amp;$K$2),C48,1)</f>
        <v>Four RJ45 copper 10/100BASE-TX</v>
      </c>
      <c r="F48" s="10" t="str">
        <f ca="1">INDEX(INDIRECT($K$1&amp;":"&amp;$K$2),C48,2)</f>
        <v>I</v>
      </c>
      <c r="G48" s="222">
        <f ca="1">INDEX(INDIRECT($K$1&amp;":"&amp;$K$2),C48,3)</f>
        <v>0</v>
      </c>
      <c r="H48" s="219" t="str">
        <f ca="1">INDEX(INDIRECT($K$1&amp;":"&amp;$K$2),C48,4)</f>
        <v>Y</v>
      </c>
    </row>
    <row r="49" spans="1:8">
      <c r="B49" s="22"/>
      <c r="C49" s="10">
        <f t="shared" si="9"/>
        <v>43</v>
      </c>
      <c r="D49" s="3">
        <f t="shared" si="9"/>
        <v>4</v>
      </c>
      <c r="E49" s="79" t="str">
        <f ca="1">INDEX(INDIRECT($K$1&amp;":"&amp;$K$2),C49,1)</f>
        <v>Not installed</v>
      </c>
      <c r="F49" s="10" t="str">
        <f ca="1">INDEX(INDIRECT($K$1&amp;":"&amp;$K$2),C49,2)</f>
        <v>X</v>
      </c>
      <c r="G49" s="222">
        <f ca="1">INDEX(INDIRECT($K$1&amp;":"&amp;$K$2),C49,3)</f>
        <v>0</v>
      </c>
      <c r="H49" s="219" t="str">
        <f ca="1">INDEX(INDIRECT($K$1&amp;":"&amp;$K$2),C49,4)</f>
        <v>Y</v>
      </c>
    </row>
    <row r="50" spans="1:8">
      <c r="C50" s="13"/>
      <c r="D50" s="13"/>
      <c r="E50" s="80"/>
      <c r="F50" s="13"/>
      <c r="G50" s="223"/>
      <c r="H50" s="220"/>
    </row>
    <row r="51" spans="1:8">
      <c r="A51" s="25">
        <v>8</v>
      </c>
      <c r="B51" s="73" t="str">
        <f>INDEX('Date Drivers'!$A$1:$B$333,Database!C52,2)</f>
        <v>Interface Module 5</v>
      </c>
      <c r="C51" s="74"/>
      <c r="D51" s="77">
        <v>1</v>
      </c>
      <c r="E51" s="148" t="str">
        <f ca="1">VLOOKUP(D51,D52:F55,2,FALSE)</f>
        <v>Four slots for SFP transceivers</v>
      </c>
      <c r="F51" s="77" t="str">
        <f ca="1">VLOOKUP(D51,D52:F55,3,FALSE)</f>
        <v>B</v>
      </c>
      <c r="G51" s="77">
        <f ca="1">VLOOKUP(D51,D52:H55,4,FALSE)</f>
        <v>0</v>
      </c>
      <c r="H51" s="77" t="str">
        <f ca="1">VLOOKUP(D51,D52:H55,5,FALSE)</f>
        <v>Y</v>
      </c>
    </row>
    <row r="52" spans="1:8">
      <c r="A52" s="132"/>
      <c r="B52" s="133"/>
      <c r="C52" s="82">
        <f>MATCH(A51,'Date Drivers'!$A$1:$A$333,0)</f>
        <v>45</v>
      </c>
      <c r="D52" s="82">
        <v>1</v>
      </c>
      <c r="E52" s="8" t="str">
        <f ca="1">INDEX(INDIRECT($K$1&amp;":"&amp;$K$2),C52,1)</f>
        <v>Four slots for SFP transceivers</v>
      </c>
      <c r="F52" s="10" t="str">
        <f ca="1">INDEX(INDIRECT($K$1&amp;":"&amp;$K$2),C52,2)</f>
        <v>B</v>
      </c>
      <c r="G52" s="221">
        <f ca="1">INDEX(INDIRECT($K$1&amp;":"&amp;$K$2),C52,3)</f>
        <v>0</v>
      </c>
      <c r="H52" s="218" t="str">
        <f ca="1">INDEX(INDIRECT($K$1&amp;":"&amp;$K$2),C52,4)</f>
        <v>Y</v>
      </c>
    </row>
    <row r="53" spans="1:8">
      <c r="A53" s="132"/>
      <c r="B53" s="133"/>
      <c r="C53" s="10">
        <f t="shared" ref="C53:D55" si="10">C52+1</f>
        <v>46</v>
      </c>
      <c r="D53" s="10">
        <f t="shared" si="10"/>
        <v>2</v>
      </c>
      <c r="E53" s="8" t="str">
        <f ca="1">INDEX(INDIRECT($K$1&amp;":"&amp;$K$2),C53,1)</f>
        <v>Four 100 Mbps LC-type connector multi mode fiber 100BASE-FX Ethernet for up to 2 km</v>
      </c>
      <c r="F53" s="10" t="str">
        <f ca="1">INDEX(INDIRECT($K$1&amp;":"&amp;$K$2),C53,2)</f>
        <v>H</v>
      </c>
      <c r="G53" s="222">
        <f ca="1">INDEX(INDIRECT($K$1&amp;":"&amp;$K$2),C53,3)</f>
        <v>0</v>
      </c>
      <c r="H53" s="219" t="str">
        <f ca="1">INDEX(INDIRECT($K$1&amp;":"&amp;$K$2),C53,4)</f>
        <v>Y</v>
      </c>
    </row>
    <row r="54" spans="1:8">
      <c r="A54" s="132"/>
      <c r="B54" s="133"/>
      <c r="C54" s="10">
        <f t="shared" si="10"/>
        <v>47</v>
      </c>
      <c r="D54" s="10">
        <f t="shared" si="10"/>
        <v>3</v>
      </c>
      <c r="E54" s="8" t="str">
        <f ca="1">INDEX(INDIRECT($K$1&amp;":"&amp;$K$2),C54,1)</f>
        <v>Four RJ45 copper 10/100BASE-TX</v>
      </c>
      <c r="F54" s="10" t="str">
        <f ca="1">INDEX(INDIRECT($K$1&amp;":"&amp;$K$2),C54,2)</f>
        <v>I</v>
      </c>
      <c r="G54" s="222">
        <f ca="1">INDEX(INDIRECT($K$1&amp;":"&amp;$K$2),C54,3)</f>
        <v>0</v>
      </c>
      <c r="H54" s="219" t="str">
        <f ca="1">INDEX(INDIRECT($K$1&amp;":"&amp;$K$2),C54,4)</f>
        <v>Y</v>
      </c>
    </row>
    <row r="55" spans="1:8">
      <c r="A55" s="132"/>
      <c r="B55" s="133"/>
      <c r="C55" s="10">
        <f t="shared" si="10"/>
        <v>48</v>
      </c>
      <c r="D55" s="10">
        <f t="shared" si="10"/>
        <v>4</v>
      </c>
      <c r="E55" s="8" t="str">
        <f ca="1">INDEX(INDIRECT($K$1&amp;":"&amp;$K$2),C55,1)</f>
        <v>Not installed</v>
      </c>
      <c r="F55" s="10" t="str">
        <f ca="1">INDEX(INDIRECT($K$1&amp;":"&amp;$K$2),C55,2)</f>
        <v>X</v>
      </c>
      <c r="G55" s="222">
        <f ca="1">INDEX(INDIRECT($K$1&amp;":"&amp;$K$2),C55,3)</f>
        <v>0</v>
      </c>
      <c r="H55" s="219" t="str">
        <f ca="1">INDEX(INDIRECT($K$1&amp;":"&amp;$K$2),C55,4)</f>
        <v>Y</v>
      </c>
    </row>
    <row r="56" spans="1:8">
      <c r="A56" s="132"/>
      <c r="B56" s="133"/>
      <c r="C56" s="10"/>
      <c r="D56" s="10"/>
      <c r="E56" s="8"/>
      <c r="F56" s="10"/>
      <c r="G56" s="223"/>
      <c r="H56" s="220"/>
    </row>
    <row r="57" spans="1:8" ht="14.25" customHeight="1">
      <c r="A57" s="25">
        <v>9</v>
      </c>
      <c r="B57" s="73" t="str">
        <f>INDEX('Date Drivers'!$A$1:$B$333,Database!C58,2)</f>
        <v>Firmware Version</v>
      </c>
      <c r="C57" s="74"/>
      <c r="D57" s="77">
        <v>1</v>
      </c>
      <c r="E57" s="149" t="str">
        <f ca="1">VLOOKUP(D57,D58:H59,2,FALSE)</f>
        <v>Latest available firmware - 06</v>
      </c>
      <c r="F57" s="77" t="str">
        <f ca="1">VLOOKUP(D57,D58:H59,3,FALSE)</f>
        <v>06</v>
      </c>
      <c r="G57" s="77">
        <f ca="1">VLOOKUP(D57,D58:H59,4,FALSE)</f>
        <v>0</v>
      </c>
      <c r="H57" s="77" t="str">
        <f ca="1">VLOOKUP(D57,D58:H59,5,FALSE)</f>
        <v>Y</v>
      </c>
    </row>
    <row r="58" spans="1:8" ht="14.25" customHeight="1">
      <c r="A58" s="132"/>
      <c r="B58" s="133"/>
      <c r="C58" s="82">
        <f>MATCH(A57,'Date Drivers'!$A$1:$A$333,0)</f>
        <v>50</v>
      </c>
      <c r="D58" s="82">
        <v>1</v>
      </c>
      <c r="E58" s="83" t="str">
        <f ca="1">INDEX(INDIRECT($K$1&amp;":"&amp;$K$2),C58,1)</f>
        <v>Latest available firmware - 06</v>
      </c>
      <c r="F58" s="82" t="str">
        <f ca="1">INDEX(INDIRECT($K$1&amp;":"&amp;$K$2),C58,2)</f>
        <v>06</v>
      </c>
      <c r="G58" s="221">
        <f ca="1">INDEX(INDIRECT($K$1&amp;":"&amp;$K$2),C58,3)</f>
        <v>0</v>
      </c>
      <c r="H58" s="218" t="str">
        <f ca="1">INDEX(INDIRECT($K$1&amp;":"&amp;$K$2),C58,4)</f>
        <v>Y</v>
      </c>
    </row>
    <row r="59" spans="1:8" ht="14.25" customHeight="1">
      <c r="A59" s="26"/>
      <c r="B59" s="12"/>
      <c r="C59" s="13">
        <f>C58+1</f>
        <v>51</v>
      </c>
      <c r="D59" s="13">
        <f>D58+1</f>
        <v>2</v>
      </c>
      <c r="E59" s="8" t="str">
        <f ca="1">INDEX(INDIRECT($K$1&amp;":"&amp;$K$2),C59,1)</f>
        <v>Firmware version number - 05</v>
      </c>
      <c r="F59" s="229" t="str">
        <f ca="1">INDEX(INDIRECT($K$1&amp;":"&amp;$K$2),C59,2)</f>
        <v>05</v>
      </c>
      <c r="G59" s="222">
        <f ca="1">INDEX(INDIRECT($K$1&amp;":"&amp;$K$2),C59,3)</f>
        <v>0</v>
      </c>
      <c r="H59" s="219" t="s">
        <v>41</v>
      </c>
    </row>
    <row r="60" spans="1:8">
      <c r="A60" s="25">
        <v>10</v>
      </c>
      <c r="B60" s="73" t="str">
        <f>INDEX('Date Drivers'!$A$1:$B$333,Database!C61,2)</f>
        <v>Hardware Design Suffix</v>
      </c>
      <c r="C60" s="74"/>
      <c r="D60" s="77">
        <v>1</v>
      </c>
      <c r="E60" s="78" t="str">
        <f ca="1">VLOOKUP(D60,D61:F62,2,FALSE)</f>
        <v>Standard hardware release</v>
      </c>
      <c r="F60" s="147" t="str">
        <f ca="1">VLOOKUP(D60,D61:F62,3,FALSE)</f>
        <v>B</v>
      </c>
      <c r="G60" s="77">
        <f ca="1">VLOOKUP(D60,D61:H62,4,FALSE)</f>
        <v>0</v>
      </c>
      <c r="H60" s="77" t="str">
        <f ca="1">VLOOKUP(D60,D61:H62,5,FALSE)</f>
        <v>Y</v>
      </c>
    </row>
    <row r="61" spans="1:8">
      <c r="A61" s="132"/>
      <c r="B61" s="133"/>
      <c r="C61" s="82">
        <f>MATCH(A60,'Date Drivers'!$A$1:$A$333,0)</f>
        <v>52</v>
      </c>
      <c r="D61" s="82">
        <v>1</v>
      </c>
      <c r="E61" s="150" t="str">
        <f ca="1">INDEX(INDIRECT($K$1&amp;":"&amp;$K$2),C61,1)</f>
        <v>Standard hardware release</v>
      </c>
      <c r="F61" s="82" t="str">
        <f ca="1">INDEX(INDIRECT($K$1&amp;":"&amp;$K$2),C61,2)</f>
        <v>B</v>
      </c>
      <c r="G61" s="221">
        <f ca="1">INDEX(INDIRECT($K$1&amp;":"&amp;$K$2),C61,3)</f>
        <v>0</v>
      </c>
      <c r="H61" s="218" t="str">
        <f ca="1">INDEX(INDIRECT($K$1&amp;":"&amp;$K$2),C61,4)</f>
        <v>Y</v>
      </c>
    </row>
    <row r="62" spans="1:8">
      <c r="A62" s="132"/>
      <c r="B62" s="133"/>
      <c r="C62" s="10">
        <f>C61+1</f>
        <v>53</v>
      </c>
      <c r="D62" s="10">
        <v>2</v>
      </c>
      <c r="E62" s="8" t="str">
        <f ca="1">INDEX(INDIRECT($K$1&amp;":"&amp;$K$2),C62,1)</f>
        <v>Alternate hardware release (Withdraw)</v>
      </c>
      <c r="F62" s="10" t="str">
        <f ca="1">INDEX(INDIRECT($K$1&amp;":"&amp;$K$2),C62,2)</f>
        <v>BL</v>
      </c>
      <c r="G62" s="222">
        <f ca="1">INDEX(INDIRECT($K$1&amp;":"&amp;$K$2),C62,3)</f>
        <v>0</v>
      </c>
      <c r="H62" s="219" t="str">
        <f ca="1">INDEX(INDIRECT($K$1&amp;":"&amp;$K$2),C62,4)</f>
        <v>Y</v>
      </c>
    </row>
    <row r="63" spans="1:8">
      <c r="A63" s="26"/>
      <c r="B63" s="12"/>
      <c r="C63" s="13"/>
      <c r="D63" s="13"/>
      <c r="E63" s="12"/>
      <c r="F63" s="13"/>
      <c r="G63" s="223"/>
      <c r="H63" s="220"/>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6"/>
  <dimension ref="A1:AE54"/>
  <sheetViews>
    <sheetView workbookViewId="0">
      <pane xSplit="2" ySplit="1" topLeftCell="Y2" activePane="bottomRight" state="frozen"/>
      <selection pane="topRight" activeCell="C1" sqref="C1"/>
      <selection pane="bottomLeft" activeCell="A2" sqref="A2"/>
      <selection pane="bottomRight" activeCell="AF1" sqref="AF1"/>
    </sheetView>
  </sheetViews>
  <sheetFormatPr defaultRowHeight="12"/>
  <cols>
    <col min="1" max="1" width="5" style="3" customWidth="1"/>
    <col min="2" max="2" width="39.85546875" style="15" bestFit="1" customWidth="1"/>
    <col min="3" max="3" width="72.7109375" style="19" customWidth="1"/>
    <col min="4" max="4" width="9.7109375" style="23" customWidth="1"/>
    <col min="5" max="5" width="9.7109375" style="120" customWidth="1"/>
    <col min="6" max="6" width="5.42578125" style="23" customWidth="1"/>
    <col min="7" max="7" width="143.140625" style="19" bestFit="1" customWidth="1"/>
    <col min="8" max="8" width="9.7109375" style="23" customWidth="1"/>
    <col min="9" max="9" width="9.7109375" style="120" customWidth="1"/>
    <col min="10" max="11" width="5.42578125" style="23" customWidth="1"/>
    <col min="12" max="12" width="143.140625" style="19" bestFit="1" customWidth="1"/>
    <col min="13" max="13" width="9.7109375" style="23" customWidth="1"/>
    <col min="14" max="14" width="9.7109375" style="120" customWidth="1"/>
    <col min="15" max="15" width="5.42578125" style="23" customWidth="1"/>
    <col min="16" max="16" width="143.140625" style="19" bestFit="1" customWidth="1"/>
    <col min="17" max="17" width="9.7109375" style="23" customWidth="1"/>
    <col min="18" max="18" width="9.7109375" style="120" customWidth="1"/>
    <col min="19" max="19" width="5.42578125" style="23" customWidth="1"/>
    <col min="20" max="20" width="143.140625" style="19" bestFit="1" customWidth="1"/>
    <col min="21" max="21" width="9.7109375" style="23" customWidth="1"/>
    <col min="22" max="22" width="9.7109375" style="120" customWidth="1"/>
    <col min="23" max="23" width="5.42578125" style="23" customWidth="1"/>
    <col min="24" max="24" width="143.140625" style="19" bestFit="1" customWidth="1"/>
    <col min="25" max="25" width="9.7109375" style="23" customWidth="1"/>
    <col min="26" max="26" width="9.7109375" style="120" customWidth="1"/>
    <col min="27" max="27" width="5.42578125" style="23" customWidth="1"/>
    <col min="28" max="28" width="143.140625" style="19" bestFit="1" customWidth="1"/>
    <col min="29" max="29" width="9.7109375" style="23" customWidth="1"/>
    <col min="30" max="30" width="9.7109375" style="120" customWidth="1"/>
    <col min="31" max="31" width="5.42578125" style="23" customWidth="1"/>
    <col min="32" max="16384" width="9.140625" style="15"/>
  </cols>
  <sheetData>
    <row r="1" spans="1:31">
      <c r="A1" s="191"/>
      <c r="B1" s="192" t="s">
        <v>107</v>
      </c>
      <c r="C1" s="193">
        <f>Database!$E$1</f>
        <v>43348</v>
      </c>
      <c r="D1" s="193"/>
      <c r="E1" s="193"/>
      <c r="F1" s="193"/>
      <c r="G1" s="193">
        <f>Database!$E$1</f>
        <v>43348</v>
      </c>
      <c r="H1" s="193"/>
      <c r="I1" s="193"/>
      <c r="J1" s="193"/>
      <c r="K1" s="193"/>
      <c r="L1" s="193">
        <f>Database!$E$1</f>
        <v>43348</v>
      </c>
      <c r="M1" s="193"/>
      <c r="N1" s="193"/>
      <c r="O1" s="193"/>
      <c r="P1" s="193">
        <f>Database!$E$1</f>
        <v>43348</v>
      </c>
      <c r="Q1" s="193"/>
      <c r="R1" s="193"/>
      <c r="S1" s="193"/>
      <c r="T1" s="193">
        <f>Database!$E$1</f>
        <v>43348</v>
      </c>
      <c r="U1" s="193"/>
      <c r="V1" s="193"/>
      <c r="W1" s="193"/>
      <c r="X1" s="193">
        <f>Database!$E$1</f>
        <v>43348</v>
      </c>
      <c r="Y1" s="193"/>
      <c r="Z1" s="193"/>
      <c r="AA1" s="193"/>
      <c r="AB1" s="193">
        <f>Database!$E$1</f>
        <v>43348</v>
      </c>
      <c r="AC1" s="193"/>
      <c r="AD1" s="193"/>
      <c r="AE1" s="193"/>
    </row>
    <row r="2" spans="1:31">
      <c r="A2" s="191"/>
      <c r="B2" s="192" t="s">
        <v>108</v>
      </c>
      <c r="C2" s="194">
        <v>42060</v>
      </c>
      <c r="D2" s="195"/>
      <c r="E2" s="195"/>
      <c r="F2" s="195"/>
      <c r="G2" s="194">
        <v>42356</v>
      </c>
      <c r="H2" s="195"/>
      <c r="I2" s="195"/>
      <c r="J2" s="195"/>
      <c r="K2" s="195"/>
      <c r="L2" s="194">
        <v>42445</v>
      </c>
      <c r="M2" s="195"/>
      <c r="N2" s="195"/>
      <c r="O2" s="195"/>
      <c r="P2" s="194">
        <v>42494</v>
      </c>
      <c r="Q2" s="195"/>
      <c r="R2" s="195"/>
      <c r="S2" s="195"/>
      <c r="T2" s="194">
        <v>42556</v>
      </c>
      <c r="U2" s="195"/>
      <c r="V2" s="195"/>
      <c r="W2" s="195"/>
      <c r="X2" s="194">
        <v>42656</v>
      </c>
      <c r="Y2" s="195"/>
      <c r="Z2" s="195"/>
      <c r="AA2" s="195"/>
      <c r="AB2" s="194">
        <v>43348</v>
      </c>
      <c r="AC2" s="195"/>
      <c r="AD2" s="195"/>
      <c r="AE2" s="195"/>
    </row>
    <row r="3" spans="1:31">
      <c r="A3" s="196" t="s">
        <v>35</v>
      </c>
      <c r="B3" s="197" t="s">
        <v>36</v>
      </c>
      <c r="C3" s="198" t="s">
        <v>37</v>
      </c>
      <c r="D3" s="198" t="s">
        <v>38</v>
      </c>
      <c r="E3" s="198" t="s">
        <v>45</v>
      </c>
      <c r="F3" s="199" t="s">
        <v>40</v>
      </c>
      <c r="G3" s="232" t="s">
        <v>37</v>
      </c>
      <c r="H3" s="232" t="s">
        <v>38</v>
      </c>
      <c r="I3" s="232" t="s">
        <v>45</v>
      </c>
      <c r="J3" s="233" t="s">
        <v>40</v>
      </c>
      <c r="K3" s="233"/>
      <c r="L3" s="232" t="s">
        <v>37</v>
      </c>
      <c r="M3" s="232" t="s">
        <v>38</v>
      </c>
      <c r="N3" s="232" t="s">
        <v>45</v>
      </c>
      <c r="O3" s="233" t="s">
        <v>40</v>
      </c>
      <c r="P3" s="232" t="s">
        <v>37</v>
      </c>
      <c r="Q3" s="232" t="s">
        <v>38</v>
      </c>
      <c r="R3" s="232" t="s">
        <v>45</v>
      </c>
      <c r="S3" s="233" t="s">
        <v>40</v>
      </c>
      <c r="T3" s="232" t="s">
        <v>37</v>
      </c>
      <c r="U3" s="232" t="s">
        <v>38</v>
      </c>
      <c r="V3" s="232" t="s">
        <v>45</v>
      </c>
      <c r="W3" s="233" t="s">
        <v>40</v>
      </c>
      <c r="X3" s="232" t="s">
        <v>37</v>
      </c>
      <c r="Y3" s="232" t="s">
        <v>38</v>
      </c>
      <c r="Z3" s="232" t="s">
        <v>45</v>
      </c>
      <c r="AA3" s="233" t="s">
        <v>40</v>
      </c>
      <c r="AB3" s="232" t="s">
        <v>37</v>
      </c>
      <c r="AC3" s="232" t="s">
        <v>38</v>
      </c>
      <c r="AD3" s="232" t="s">
        <v>45</v>
      </c>
      <c r="AE3" s="233" t="s">
        <v>40</v>
      </c>
    </row>
    <row r="4" spans="1:31">
      <c r="A4" s="20"/>
      <c r="B4" s="200" t="str">
        <f>HLOOKUP(Language!$C$3,Language!$E$1:$Z464,2,FALSE)</f>
        <v>Model Type</v>
      </c>
      <c r="C4" s="201" t="str">
        <f>CONCATENATE(HLOOKUP(Language!$C$3,Language!$E$1:$Z464,4,FALSE)," ",HLOOKUP(Language!$C$3,Language!$E$1:$Z464,3,FALSE))</f>
        <v>S2020 Modular Managed Ethernet Switch</v>
      </c>
      <c r="D4" s="202"/>
      <c r="E4" s="202"/>
      <c r="F4" s="203"/>
      <c r="G4" s="201" t="str">
        <f>CONCATENATE(HLOOKUP(Language!$C$3,Language!$E$1:$Z464,4,FALSE)," ",HLOOKUP(Language!$C$3,Language!$E$1:$Z464,3,FALSE))</f>
        <v>S2020 Modular Managed Ethernet Switch</v>
      </c>
      <c r="H4" s="234"/>
      <c r="I4" s="234"/>
      <c r="J4" s="235"/>
      <c r="K4" s="235"/>
      <c r="L4" s="201" t="str">
        <f>CONCATENATE(HLOOKUP(Language!$C$3,Language!$E$1:$Z464,4,FALSE)," ",HLOOKUP(Language!$C$3,Language!$E$1:$Z464,3,FALSE))</f>
        <v>S2020 Modular Managed Ethernet Switch</v>
      </c>
      <c r="M4" s="234"/>
      <c r="N4" s="234"/>
      <c r="O4" s="235"/>
      <c r="P4" s="201" t="str">
        <f>CONCATENATE(HLOOKUP(Language!$C$3,Language!$E$1:$Z464,4,FALSE)," ",HLOOKUP(Language!$C$3,Language!$E$1:$Z464,3,FALSE))</f>
        <v>S2020 Modular Managed Ethernet Switch</v>
      </c>
      <c r="Q4" s="234"/>
      <c r="R4" s="234"/>
      <c r="S4" s="235"/>
      <c r="T4" s="201" t="str">
        <f>CONCATENATE(HLOOKUP(Language!$C$3,Language!$E$1:$Z464,4,FALSE)," ",HLOOKUP(Language!$C$3,Language!$E$1:$Z464,3,FALSE))</f>
        <v>S2020 Modular Managed Ethernet Switch</v>
      </c>
      <c r="U4" s="234"/>
      <c r="V4" s="234"/>
      <c r="W4" s="235"/>
      <c r="X4" s="201" t="str">
        <f>CONCATENATE(HLOOKUP(Language!$C$3,Language!$E$1:$Z464,4,FALSE)," ",HLOOKUP(Language!$C$3,Language!$E$1:$Z464,3,FALSE))</f>
        <v>S2020 Modular Managed Ethernet Switch</v>
      </c>
      <c r="Y4" s="234"/>
      <c r="Z4" s="234"/>
      <c r="AA4" s="235"/>
      <c r="AB4" s="201" t="str">
        <f>CONCATENATE(HLOOKUP(Language!$C$3,Language!$E$1:$Z464,4,FALSE)," ",HLOOKUP(Language!$C$3,Language!$E$1:$Z464,3,FALSE))</f>
        <v>S2020 Modular Managed Ethernet Switch</v>
      </c>
      <c r="AC4" s="234"/>
      <c r="AD4" s="234"/>
      <c r="AE4" s="235"/>
    </row>
    <row r="5" spans="1:31">
      <c r="A5" s="20"/>
      <c r="B5" s="204" t="s">
        <v>106</v>
      </c>
      <c r="C5" s="205" t="str">
        <f>HLOOKUP(Language!$C$3,Language!$E$1:$Z465,4,FALSE)</f>
        <v>S2020</v>
      </c>
      <c r="D5" s="205"/>
      <c r="E5" s="206"/>
      <c r="F5" s="205" t="s">
        <v>41</v>
      </c>
      <c r="G5" s="205" t="str">
        <f>HLOOKUP(Language!$C$3,Language!$E$1:$Z465,4,FALSE)</f>
        <v>S2020</v>
      </c>
      <c r="H5" s="205"/>
      <c r="I5" s="206"/>
      <c r="J5" s="205" t="s">
        <v>41</v>
      </c>
      <c r="K5" s="205"/>
      <c r="L5" s="205" t="str">
        <f>HLOOKUP(Language!$C$3,Language!$E$1:$Z465,4,FALSE)</f>
        <v>S2020</v>
      </c>
      <c r="M5" s="205"/>
      <c r="N5" s="206"/>
      <c r="O5" s="205" t="s">
        <v>41</v>
      </c>
      <c r="P5" s="205" t="str">
        <f>HLOOKUP(Language!$C$3,Language!$E$1:$Z465,4,FALSE)</f>
        <v>S2020</v>
      </c>
      <c r="Q5" s="205"/>
      <c r="R5" s="206"/>
      <c r="S5" s="205" t="s">
        <v>41</v>
      </c>
      <c r="T5" s="205" t="str">
        <f>HLOOKUP(Language!$C$3,Language!$E$1:$Z465,4,FALSE)</f>
        <v>S2020</v>
      </c>
      <c r="U5" s="205"/>
      <c r="V5" s="206"/>
      <c r="W5" s="205" t="s">
        <v>41</v>
      </c>
      <c r="X5" s="205" t="str">
        <f>HLOOKUP(Language!$C$3,Language!$E$1:$Z465,4,FALSE)</f>
        <v>S2020</v>
      </c>
      <c r="Y5" s="205"/>
      <c r="Z5" s="206"/>
      <c r="AA5" s="205" t="s">
        <v>41</v>
      </c>
      <c r="AB5" s="205" t="str">
        <f>HLOOKUP(Language!$C$3,Language!$E$1:$Z465,4,FALSE)</f>
        <v>S2020</v>
      </c>
      <c r="AC5" s="205"/>
      <c r="AD5" s="206"/>
      <c r="AE5" s="205" t="s">
        <v>41</v>
      </c>
    </row>
    <row r="6" spans="1:31">
      <c r="A6" s="207">
        <v>1</v>
      </c>
      <c r="B6" s="16" t="str">
        <f>HLOOKUP(Language!$C$3,Language!$E$1:$Z497,5,FALSE)</f>
        <v>Power Supply 1</v>
      </c>
      <c r="C6" s="208" t="str">
        <f>HLOOKUP(Language!$C$3,Language!$E$1:$Z503,40,FALSE)</f>
        <v>24-48 Vdc</v>
      </c>
      <c r="D6" s="208">
        <v>1</v>
      </c>
      <c r="E6" s="208"/>
      <c r="F6" s="208" t="s">
        <v>41</v>
      </c>
      <c r="G6" s="208" t="str">
        <f>HLOOKUP(Language!$C$3,Language!$E$1:$Z503,40,FALSE)</f>
        <v>24-48 Vdc</v>
      </c>
      <c r="H6" s="208">
        <v>1</v>
      </c>
      <c r="I6" s="208"/>
      <c r="J6" s="208" t="s">
        <v>41</v>
      </c>
      <c r="K6" s="208"/>
      <c r="L6" s="208" t="str">
        <f>HLOOKUP(Language!$C$3,Language!$E$1:$Z503,40,FALSE)</f>
        <v>24-48 Vdc</v>
      </c>
      <c r="M6" s="208">
        <v>1</v>
      </c>
      <c r="N6" s="208"/>
      <c r="O6" s="208" t="s">
        <v>41</v>
      </c>
      <c r="P6" s="208" t="str">
        <f>HLOOKUP(Language!$C$3,Language!$E$1:$Z503,40,FALSE)</f>
        <v>24-48 Vdc</v>
      </c>
      <c r="Q6" s="208">
        <v>1</v>
      </c>
      <c r="R6" s="208"/>
      <c r="S6" s="208" t="s">
        <v>41</v>
      </c>
      <c r="T6" s="208" t="str">
        <f>HLOOKUP(Language!$C$3,Language!$E$1:$Z503,40,FALSE)</f>
        <v>24-48 Vdc</v>
      </c>
      <c r="U6" s="208">
        <v>1</v>
      </c>
      <c r="V6" s="208"/>
      <c r="W6" s="208" t="s">
        <v>41</v>
      </c>
      <c r="X6" s="208" t="str">
        <f>HLOOKUP(Language!$C$3,Language!$E$1:$Z503,40,FALSE)</f>
        <v>24-48 Vdc</v>
      </c>
      <c r="Y6" s="208">
        <v>1</v>
      </c>
      <c r="Z6" s="208"/>
      <c r="AA6" s="208" t="s">
        <v>41</v>
      </c>
      <c r="AB6" s="208" t="str">
        <f>HLOOKUP(Language!$C$3,Language!$E$1:$Z503,40,FALSE)</f>
        <v>24-48 Vdc</v>
      </c>
      <c r="AC6" s="208">
        <v>1</v>
      </c>
      <c r="AD6" s="208"/>
      <c r="AE6" s="208" t="s">
        <v>41</v>
      </c>
    </row>
    <row r="7" spans="1:31">
      <c r="A7" s="209"/>
      <c r="B7" s="17"/>
      <c r="C7" s="210" t="str">
        <f>HLOOKUP(Language!$C$3,Language!$E$1:$Z499,7,FALSE)</f>
        <v>100-250 Vdc / 110-240 Vac</v>
      </c>
      <c r="D7" s="210">
        <v>3</v>
      </c>
      <c r="E7" s="210"/>
      <c r="F7" s="210" t="s">
        <v>41</v>
      </c>
      <c r="G7" s="210" t="str">
        <f>HLOOKUP(Language!$C$3,Language!$E$1:$Z499,7,FALSE)</f>
        <v>100-250 Vdc / 110-240 Vac</v>
      </c>
      <c r="H7" s="210">
        <v>3</v>
      </c>
      <c r="I7" s="210"/>
      <c r="J7" s="210" t="s">
        <v>41</v>
      </c>
      <c r="K7" s="210"/>
      <c r="L7" s="210" t="str">
        <f>HLOOKUP(Language!$C$3,Language!$E$1:$Z499,7,FALSE)</f>
        <v>100-250 Vdc / 110-240 Vac</v>
      </c>
      <c r="M7" s="210">
        <v>3</v>
      </c>
      <c r="N7" s="210"/>
      <c r="O7" s="210" t="s">
        <v>41</v>
      </c>
      <c r="P7" s="210" t="str">
        <f>HLOOKUP(Language!$C$3,Language!$E$1:$Z499,7,FALSE)</f>
        <v>100-250 Vdc / 110-240 Vac</v>
      </c>
      <c r="Q7" s="210">
        <v>3</v>
      </c>
      <c r="R7" s="210"/>
      <c r="S7" s="210" t="s">
        <v>41</v>
      </c>
      <c r="T7" s="210" t="str">
        <f>HLOOKUP(Language!$C$3,Language!$E$1:$Z499,7,FALSE)</f>
        <v>100-250 Vdc / 110-240 Vac</v>
      </c>
      <c r="U7" s="210">
        <v>3</v>
      </c>
      <c r="V7" s="210"/>
      <c r="W7" s="210" t="s">
        <v>41</v>
      </c>
      <c r="X7" s="210" t="str">
        <f>HLOOKUP(Language!$C$3,Language!$E$1:$Z499,7,FALSE)</f>
        <v>100-250 Vdc / 110-240 Vac</v>
      </c>
      <c r="Y7" s="210">
        <v>3</v>
      </c>
      <c r="Z7" s="210"/>
      <c r="AA7" s="210" t="s">
        <v>41</v>
      </c>
      <c r="AB7" s="210" t="str">
        <f>HLOOKUP(Language!$C$3,Language!$E$1:$Z499,7,FALSE)</f>
        <v>100-250 Vdc / 110-240 Vac</v>
      </c>
      <c r="AC7" s="210">
        <v>3</v>
      </c>
      <c r="AD7" s="210"/>
      <c r="AE7" s="210" t="s">
        <v>41</v>
      </c>
    </row>
    <row r="8" spans="1:31">
      <c r="A8" s="211"/>
      <c r="B8" s="27"/>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row>
    <row r="9" spans="1:31">
      <c r="A9" s="207">
        <v>2</v>
      </c>
      <c r="B9" s="16" t="str">
        <f>HLOOKUP(Language!$C$3,Language!$E$1:$Z464,6,FALSE)</f>
        <v>Power Supply 2</v>
      </c>
      <c r="C9" s="208" t="str">
        <f>HLOOKUP(Language!$C$3,Language!$E$1:$Z503,40,FALSE)</f>
        <v>24-48 Vdc</v>
      </c>
      <c r="D9" s="208">
        <v>1</v>
      </c>
      <c r="E9" s="208"/>
      <c r="F9" s="208" t="s">
        <v>41</v>
      </c>
      <c r="G9" s="208" t="str">
        <f>HLOOKUP(Language!$C$3,Language!$E$1:$Z503,40,FALSE)</f>
        <v>24-48 Vdc</v>
      </c>
      <c r="H9" s="208">
        <v>1</v>
      </c>
      <c r="I9" s="208"/>
      <c r="J9" s="208" t="s">
        <v>41</v>
      </c>
      <c r="K9" s="208"/>
      <c r="L9" s="208" t="str">
        <f>HLOOKUP(Language!$C$3,Language!$E$1:$Z503,40,FALSE)</f>
        <v>24-48 Vdc</v>
      </c>
      <c r="M9" s="208">
        <v>1</v>
      </c>
      <c r="N9" s="208"/>
      <c r="O9" s="208" t="s">
        <v>41</v>
      </c>
      <c r="P9" s="208" t="str">
        <f>HLOOKUP(Language!$C$3,Language!$E$1:$Z503,40,FALSE)</f>
        <v>24-48 Vdc</v>
      </c>
      <c r="Q9" s="208">
        <v>1</v>
      </c>
      <c r="R9" s="208"/>
      <c r="S9" s="208" t="s">
        <v>41</v>
      </c>
      <c r="T9" s="208" t="str">
        <f>HLOOKUP(Language!$C$3,Language!$E$1:$Z503,40,FALSE)</f>
        <v>24-48 Vdc</v>
      </c>
      <c r="U9" s="208">
        <v>1</v>
      </c>
      <c r="V9" s="208"/>
      <c r="W9" s="208" t="s">
        <v>41</v>
      </c>
      <c r="X9" s="208" t="str">
        <f>HLOOKUP(Language!$C$3,Language!$E$1:$Z503,40,FALSE)</f>
        <v>24-48 Vdc</v>
      </c>
      <c r="Y9" s="208">
        <v>1</v>
      </c>
      <c r="Z9" s="208"/>
      <c r="AA9" s="208" t="s">
        <v>41</v>
      </c>
      <c r="AB9" s="208" t="str">
        <f>HLOOKUP(Language!$C$3,Language!$E$1:$Z503,40,FALSE)</f>
        <v>24-48 Vdc</v>
      </c>
      <c r="AC9" s="208">
        <v>1</v>
      </c>
      <c r="AD9" s="208"/>
      <c r="AE9" s="208" t="s">
        <v>41</v>
      </c>
    </row>
    <row r="10" spans="1:31">
      <c r="A10" s="209"/>
      <c r="B10" s="17"/>
      <c r="C10" s="210" t="str">
        <f>HLOOKUP(Language!$C$3,Language!$E$1:$Z499,7,FALSE)</f>
        <v>100-250 Vdc / 110-240 Vac</v>
      </c>
      <c r="D10" s="210">
        <v>3</v>
      </c>
      <c r="E10" s="210"/>
      <c r="F10" s="210" t="s">
        <v>41</v>
      </c>
      <c r="G10" s="210" t="str">
        <f>HLOOKUP(Language!$C$3,Language!$E$1:$Z499,7,FALSE)</f>
        <v>100-250 Vdc / 110-240 Vac</v>
      </c>
      <c r="H10" s="210">
        <v>3</v>
      </c>
      <c r="I10" s="210"/>
      <c r="J10" s="210" t="s">
        <v>41</v>
      </c>
      <c r="K10" s="210"/>
      <c r="L10" s="210" t="str">
        <f>HLOOKUP(Language!$C$3,Language!$E$1:$Z499,7,FALSE)</f>
        <v>100-250 Vdc / 110-240 Vac</v>
      </c>
      <c r="M10" s="210">
        <v>3</v>
      </c>
      <c r="N10" s="210"/>
      <c r="O10" s="210" t="s">
        <v>41</v>
      </c>
      <c r="P10" s="210" t="str">
        <f>HLOOKUP(Language!$C$3,Language!$E$1:$Z499,7,FALSE)</f>
        <v>100-250 Vdc / 110-240 Vac</v>
      </c>
      <c r="Q10" s="210">
        <v>3</v>
      </c>
      <c r="R10" s="210"/>
      <c r="S10" s="210" t="s">
        <v>41</v>
      </c>
      <c r="T10" s="210" t="str">
        <f>HLOOKUP(Language!$C$3,Language!$E$1:$Z499,7,FALSE)</f>
        <v>100-250 Vdc / 110-240 Vac</v>
      </c>
      <c r="U10" s="210">
        <v>3</v>
      </c>
      <c r="V10" s="210"/>
      <c r="W10" s="210" t="s">
        <v>41</v>
      </c>
      <c r="X10" s="210" t="str">
        <f>HLOOKUP(Language!$C$3,Language!$E$1:$Z499,7,FALSE)</f>
        <v>100-250 Vdc / 110-240 Vac</v>
      </c>
      <c r="Y10" s="210">
        <v>3</v>
      </c>
      <c r="Z10" s="210"/>
      <c r="AA10" s="210" t="s">
        <v>41</v>
      </c>
      <c r="AB10" s="210" t="str">
        <f>HLOOKUP(Language!$C$3,Language!$E$1:$Z499,7,FALSE)</f>
        <v>100-250 Vdc / 110-240 Vac</v>
      </c>
      <c r="AC10" s="210">
        <v>3</v>
      </c>
      <c r="AD10" s="210"/>
      <c r="AE10" s="210" t="s">
        <v>41</v>
      </c>
    </row>
    <row r="11" spans="1:31">
      <c r="A11" s="209"/>
      <c r="B11" s="17"/>
      <c r="C11" s="210" t="str">
        <f>HLOOKUP(Language!$C$3,Language!$E$1:$Z467,8,FALSE)</f>
        <v>Not installed</v>
      </c>
      <c r="D11" s="210" t="s">
        <v>28</v>
      </c>
      <c r="E11" s="210"/>
      <c r="F11" s="210" t="s">
        <v>41</v>
      </c>
      <c r="G11" s="210" t="str">
        <f>HLOOKUP(Language!$C$3,Language!$E$1:$Z467,8,FALSE)</f>
        <v>Not installed</v>
      </c>
      <c r="H11" s="210" t="s">
        <v>28</v>
      </c>
      <c r="I11" s="210"/>
      <c r="J11" s="210" t="s">
        <v>41</v>
      </c>
      <c r="K11" s="210"/>
      <c r="L11" s="210" t="str">
        <f>HLOOKUP(Language!$C$3,Language!$E$1:$Z467,8,FALSE)</f>
        <v>Not installed</v>
      </c>
      <c r="M11" s="210" t="s">
        <v>28</v>
      </c>
      <c r="N11" s="210"/>
      <c r="O11" s="210" t="s">
        <v>41</v>
      </c>
      <c r="P11" s="210" t="str">
        <f>HLOOKUP(Language!$C$3,Language!$E$1:$Z467,8,FALSE)</f>
        <v>Not installed</v>
      </c>
      <c r="Q11" s="210" t="s">
        <v>28</v>
      </c>
      <c r="R11" s="210"/>
      <c r="S11" s="210" t="s">
        <v>41</v>
      </c>
      <c r="T11" s="210" t="str">
        <f>HLOOKUP(Language!$C$3,Language!$E$1:$Z467,8,FALSE)</f>
        <v>Not installed</v>
      </c>
      <c r="U11" s="210" t="s">
        <v>28</v>
      </c>
      <c r="V11" s="210"/>
      <c r="W11" s="210" t="s">
        <v>41</v>
      </c>
      <c r="X11" s="210" t="str">
        <f>HLOOKUP(Language!$C$3,Language!$E$1:$Z467,8,FALSE)</f>
        <v>Not installed</v>
      </c>
      <c r="Y11" s="210" t="s">
        <v>28</v>
      </c>
      <c r="Z11" s="210"/>
      <c r="AA11" s="210" t="s">
        <v>41</v>
      </c>
      <c r="AB11" s="210" t="str">
        <f>HLOOKUP(Language!$C$3,Language!$E$1:$Z467,8,FALSE)</f>
        <v>Not installed</v>
      </c>
      <c r="AC11" s="210" t="s">
        <v>28</v>
      </c>
      <c r="AD11" s="210"/>
      <c r="AE11" s="210" t="s">
        <v>41</v>
      </c>
    </row>
    <row r="12" spans="1:31">
      <c r="A12" s="211"/>
      <c r="B12" s="27"/>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row>
    <row r="13" spans="1:31">
      <c r="A13" s="207">
        <v>3</v>
      </c>
      <c r="B13" s="16" t="str">
        <f>HLOOKUP(Language!$C$3,Language!$E$1:$Z468,43,FALSE)</f>
        <v>Mounting Options</v>
      </c>
      <c r="C13" s="208" t="str">
        <f>HLOOKUP(Language!$C$3,Language!$E$1:$Z470,44,FALSE)</f>
        <v>19” Rack Mount / Rear Mount</v>
      </c>
      <c r="D13" s="208" t="s">
        <v>84</v>
      </c>
      <c r="E13" s="208"/>
      <c r="F13" s="208" t="s">
        <v>41</v>
      </c>
      <c r="G13" s="208" t="str">
        <f>HLOOKUP(Language!$C$3,Language!$E$1:$Z470,44,FALSE)</f>
        <v>19” Rack Mount / Rear Mount</v>
      </c>
      <c r="H13" s="208" t="s">
        <v>84</v>
      </c>
      <c r="I13" s="208"/>
      <c r="J13" s="208" t="s">
        <v>41</v>
      </c>
      <c r="K13" s="208"/>
      <c r="L13" s="208" t="str">
        <f>HLOOKUP(Language!$C$3,Language!$E$1:$Z470,44,FALSE)</f>
        <v>19” Rack Mount / Rear Mount</v>
      </c>
      <c r="M13" s="208" t="s">
        <v>84</v>
      </c>
      <c r="N13" s="208"/>
      <c r="O13" s="208" t="s">
        <v>41</v>
      </c>
      <c r="P13" s="208" t="str">
        <f>HLOOKUP(Language!$C$3,Language!$E$1:$Z470,44,FALSE)</f>
        <v>19” Rack Mount / Rear Mount</v>
      </c>
      <c r="Q13" s="208" t="s">
        <v>84</v>
      </c>
      <c r="R13" s="208"/>
      <c r="S13" s="208" t="s">
        <v>41</v>
      </c>
      <c r="T13" s="208" t="str">
        <f>HLOOKUP(Language!$C$3,Language!$E$1:$Z470,44,FALSE)</f>
        <v>19” Rack Mount / Rear Mount</v>
      </c>
      <c r="U13" s="208" t="s">
        <v>84</v>
      </c>
      <c r="V13" s="208"/>
      <c r="W13" s="208" t="s">
        <v>41</v>
      </c>
      <c r="X13" s="208" t="str">
        <f>HLOOKUP(Language!$C$3,Language!$E$1:$Z470,44,FALSE)</f>
        <v>19” Rack Mount / Rear Mount</v>
      </c>
      <c r="Y13" s="208" t="s">
        <v>84</v>
      </c>
      <c r="Z13" s="208"/>
      <c r="AA13" s="208" t="s">
        <v>41</v>
      </c>
      <c r="AB13" s="208" t="str">
        <f>HLOOKUP(Language!$C$3,Language!$E$1:$Z470,44,FALSE)</f>
        <v>19” Rack Mount / Rear Mount</v>
      </c>
      <c r="AC13" s="208" t="s">
        <v>84</v>
      </c>
      <c r="AD13" s="208"/>
      <c r="AE13" s="208" t="s">
        <v>41</v>
      </c>
    </row>
    <row r="14" spans="1:31">
      <c r="A14" s="209"/>
      <c r="B14" s="17"/>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row>
    <row r="15" spans="1:31">
      <c r="A15" s="211"/>
      <c r="B15" s="27"/>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row>
    <row r="16" spans="1:31">
      <c r="A16" s="207">
        <v>4</v>
      </c>
      <c r="B16" s="16" t="str">
        <f>HLOOKUP(Language!$C$3,Language!$E$1:$Z490,9,FALSE)</f>
        <v>Interface Module 1</v>
      </c>
      <c r="C16" s="208" t="str">
        <f>HLOOKUP(Language!$C$3,Language!$E$1:$Z492,14,FALSE)</f>
        <v>Four 1 Gbps RJ45 copper 10/100BASE-TX/1000BASE-T Ethernet ports</v>
      </c>
      <c r="D16" s="208" t="s">
        <v>26</v>
      </c>
      <c r="E16" s="208"/>
      <c r="F16" s="208" t="s">
        <v>41</v>
      </c>
      <c r="G16" s="208" t="str">
        <f>HLOOKUP(Language!$C$3,Language!$E$1:$Z492,14,FALSE)</f>
        <v>Four 1 Gbps RJ45 copper 10/100BASE-TX/1000BASE-T Ethernet ports</v>
      </c>
      <c r="H16" s="208" t="s">
        <v>26</v>
      </c>
      <c r="I16" s="208"/>
      <c r="J16" s="208" t="s">
        <v>41</v>
      </c>
      <c r="K16" s="208"/>
      <c r="L16" s="208" t="str">
        <f>HLOOKUP(Language!$C$3,Language!$E$1:$Z492,14,FALSE)</f>
        <v>Four 1 Gbps RJ45 copper 10/100BASE-TX/1000BASE-T Ethernet ports</v>
      </c>
      <c r="M16" s="208" t="s">
        <v>26</v>
      </c>
      <c r="N16" s="208"/>
      <c r="O16" s="208" t="s">
        <v>41</v>
      </c>
      <c r="P16" s="208" t="str">
        <f>HLOOKUP(Language!$C$3,Language!$E$1:$Z492,14,FALSE)</f>
        <v>Four 1 Gbps RJ45 copper 10/100BASE-TX/1000BASE-T Ethernet ports</v>
      </c>
      <c r="Q16" s="208" t="s">
        <v>26</v>
      </c>
      <c r="R16" s="208"/>
      <c r="S16" s="208" t="s">
        <v>41</v>
      </c>
      <c r="T16" s="208" t="str">
        <f>HLOOKUP(Language!$C$3,Language!$E$1:$Z492,14,FALSE)</f>
        <v>Four 1 Gbps RJ45 copper 10/100BASE-TX/1000BASE-T Ethernet ports</v>
      </c>
      <c r="U16" s="208" t="s">
        <v>26</v>
      </c>
      <c r="V16" s="208"/>
      <c r="W16" s="208" t="s">
        <v>41</v>
      </c>
      <c r="X16" s="208" t="str">
        <f>HLOOKUP(Language!$C$3,Language!$E$1:$Z492,14,FALSE)</f>
        <v>Four 1 Gbps RJ45 copper 10/100BASE-TX/1000BASE-T Ethernet ports</v>
      </c>
      <c r="Y16" s="208" t="s">
        <v>26</v>
      </c>
      <c r="Z16" s="208"/>
      <c r="AA16" s="208" t="s">
        <v>41</v>
      </c>
      <c r="AB16" s="208" t="str">
        <f>HLOOKUP(Language!$C$3,Language!$E$1:$Z492,14,FALSE)</f>
        <v>Four 1 Gbps RJ45 copper 10/100BASE-TX/1000BASE-T Ethernet ports</v>
      </c>
      <c r="AC16" s="208" t="s">
        <v>26</v>
      </c>
      <c r="AD16" s="208"/>
      <c r="AE16" s="208" t="s">
        <v>41</v>
      </c>
    </row>
    <row r="17" spans="1:31">
      <c r="A17" s="209"/>
      <c r="B17" s="17"/>
      <c r="C17" s="210" t="str">
        <f>HLOOKUP(Language!$C$3,Language!$E$1:$Z493,15,FALSE)</f>
        <v>Four slots for SFP transceivers</v>
      </c>
      <c r="D17" s="210" t="s">
        <v>27</v>
      </c>
      <c r="E17" s="210"/>
      <c r="F17" s="210" t="s">
        <v>41</v>
      </c>
      <c r="G17" s="210" t="str">
        <f>HLOOKUP(Language!$C$3,Language!$E$1:$Z493,15,FALSE)</f>
        <v>Four slots for SFP transceivers</v>
      </c>
      <c r="H17" s="210" t="s">
        <v>27</v>
      </c>
      <c r="I17" s="210"/>
      <c r="J17" s="210" t="s">
        <v>41</v>
      </c>
      <c r="K17" s="210"/>
      <c r="L17" s="210" t="str">
        <f>HLOOKUP(Language!$C$3,Language!$E$1:$Z493,15,FALSE)</f>
        <v>Four slots for SFP transceivers</v>
      </c>
      <c r="M17" s="210" t="s">
        <v>27</v>
      </c>
      <c r="N17" s="210"/>
      <c r="O17" s="210" t="s">
        <v>41</v>
      </c>
      <c r="P17" s="210" t="str">
        <f>HLOOKUP(Language!$C$3,Language!$E$1:$Z493,15,FALSE)</f>
        <v>Four slots for SFP transceivers</v>
      </c>
      <c r="Q17" s="210" t="s">
        <v>27</v>
      </c>
      <c r="R17" s="210"/>
      <c r="S17" s="210" t="s">
        <v>41</v>
      </c>
      <c r="T17" s="210" t="str">
        <f>HLOOKUP(Language!$C$3,Language!$E$1:$Z493,15,FALSE)</f>
        <v>Four slots for SFP transceivers</v>
      </c>
      <c r="U17" s="210" t="s">
        <v>27</v>
      </c>
      <c r="V17" s="210"/>
      <c r="W17" s="210" t="s">
        <v>41</v>
      </c>
      <c r="X17" s="210" t="str">
        <f>HLOOKUP(Language!$C$3,Language!$E$1:$Z493,15,FALSE)</f>
        <v>Four slots for SFP transceivers</v>
      </c>
      <c r="Y17" s="210" t="s">
        <v>27</v>
      </c>
      <c r="Z17" s="210"/>
      <c r="AA17" s="210" t="s">
        <v>41</v>
      </c>
      <c r="AB17" s="210" t="str">
        <f>HLOOKUP(Language!$C$3,Language!$E$1:$Z493,15,FALSE)</f>
        <v>Four slots for SFP transceivers</v>
      </c>
      <c r="AC17" s="210" t="s">
        <v>27</v>
      </c>
      <c r="AD17" s="210"/>
      <c r="AE17" s="210" t="s">
        <v>41</v>
      </c>
    </row>
    <row r="18" spans="1:31">
      <c r="A18" s="209"/>
      <c r="B18" s="17"/>
      <c r="C18" s="210" t="str">
        <f>HLOOKUP(Language!$C$3,Language!$E$1:$Z494,16,FALSE)</f>
        <v>Four 1 Gbps LC-type connector multi mode fiber 1000BASE-SX Ethernet for up to 0.5 km</v>
      </c>
      <c r="D18" s="210" t="s">
        <v>29</v>
      </c>
      <c r="E18" s="210"/>
      <c r="F18" s="210" t="s">
        <v>41</v>
      </c>
      <c r="G18" s="210" t="str">
        <f>HLOOKUP(Language!$C$3,Language!$E$1:$Z494,16,FALSE)</f>
        <v>Four 1 Gbps LC-type connector multi mode fiber 1000BASE-SX Ethernet for up to 0.5 km</v>
      </c>
      <c r="H18" s="210" t="s">
        <v>29</v>
      </c>
      <c r="I18" s="210"/>
      <c r="J18" s="210" t="s">
        <v>41</v>
      </c>
      <c r="K18" s="210"/>
      <c r="L18" s="210" t="str">
        <f>HLOOKUP(Language!$C$3,Language!$E$1:$Z494,16,FALSE)</f>
        <v>Four 1 Gbps LC-type connector multi mode fiber 1000BASE-SX Ethernet for up to 0.5 km</v>
      </c>
      <c r="M18" s="210" t="s">
        <v>29</v>
      </c>
      <c r="N18" s="210"/>
      <c r="O18" s="210" t="s">
        <v>41</v>
      </c>
      <c r="P18" s="210" t="str">
        <f>HLOOKUP(Language!$C$3,Language!$E$1:$Z494,16,FALSE)</f>
        <v>Four 1 Gbps LC-type connector multi mode fiber 1000BASE-SX Ethernet for up to 0.5 km</v>
      </c>
      <c r="Q18" s="210" t="s">
        <v>29</v>
      </c>
      <c r="R18" s="210"/>
      <c r="S18" s="210" t="s">
        <v>41</v>
      </c>
      <c r="T18" s="210" t="str">
        <f>HLOOKUP(Language!$C$3,Language!$E$1:$Z494,16,FALSE)</f>
        <v>Four 1 Gbps LC-type connector multi mode fiber 1000BASE-SX Ethernet for up to 0.5 km</v>
      </c>
      <c r="U18" s="210" t="s">
        <v>29</v>
      </c>
      <c r="V18" s="210"/>
      <c r="W18" s="210" t="s">
        <v>41</v>
      </c>
      <c r="X18" s="210" t="str">
        <f>HLOOKUP(Language!$C$3,Language!$E$1:$Z494,16,FALSE)</f>
        <v>Four 1 Gbps LC-type connector multi mode fiber 1000BASE-SX Ethernet for up to 0.5 km</v>
      </c>
      <c r="Y18" s="210" t="s">
        <v>29</v>
      </c>
      <c r="Z18" s="210"/>
      <c r="AA18" s="210" t="s">
        <v>41</v>
      </c>
      <c r="AB18" s="210" t="str">
        <f>HLOOKUP(Language!$C$3,Language!$E$1:$Z494,16,FALSE)</f>
        <v>Four 1 Gbps LC-type connector multi mode fiber 1000BASE-SX Ethernet for up to 0.5 km</v>
      </c>
      <c r="AC18" s="210" t="s">
        <v>29</v>
      </c>
      <c r="AD18" s="210"/>
      <c r="AE18" s="210" t="s">
        <v>41</v>
      </c>
    </row>
    <row r="19" spans="1:31">
      <c r="A19" s="209"/>
      <c r="B19" s="17"/>
      <c r="C19" s="210" t="str">
        <f>HLOOKUP(Language!$C$3,Language!$E$1:$Z495,17,FALSE)</f>
        <v>Four 1 Gbps LC-type connector single mode fiber 1000BASE-LX Ethernet for up to 10 km</v>
      </c>
      <c r="D19" s="210" t="s">
        <v>30</v>
      </c>
      <c r="E19" s="210"/>
      <c r="F19" s="210" t="s">
        <v>41</v>
      </c>
      <c r="G19" s="210" t="str">
        <f>HLOOKUP(Language!$C$3,Language!$E$1:$Z495,17,FALSE)</f>
        <v>Four 1 Gbps LC-type connector single mode fiber 1000BASE-LX Ethernet for up to 10 km</v>
      </c>
      <c r="H19" s="210" t="s">
        <v>30</v>
      </c>
      <c r="I19" s="210"/>
      <c r="J19" s="210" t="s">
        <v>41</v>
      </c>
      <c r="K19" s="210"/>
      <c r="L19" s="210" t="str">
        <f>HLOOKUP(Language!$C$3,Language!$E$1:$Z495,17,FALSE)</f>
        <v>Four 1 Gbps LC-type connector single mode fiber 1000BASE-LX Ethernet for up to 10 km</v>
      </c>
      <c r="M19" s="210" t="s">
        <v>30</v>
      </c>
      <c r="N19" s="210"/>
      <c r="O19" s="210" t="s">
        <v>41</v>
      </c>
      <c r="P19" s="210" t="str">
        <f>HLOOKUP(Language!$C$3,Language!$E$1:$Z495,17,FALSE)</f>
        <v>Four 1 Gbps LC-type connector single mode fiber 1000BASE-LX Ethernet for up to 10 km</v>
      </c>
      <c r="Q19" s="210" t="s">
        <v>30</v>
      </c>
      <c r="R19" s="210"/>
      <c r="S19" s="210" t="s">
        <v>41</v>
      </c>
      <c r="T19" s="210" t="str">
        <f>HLOOKUP(Language!$C$3,Language!$E$1:$Z495,17,FALSE)</f>
        <v>Four 1 Gbps LC-type connector single mode fiber 1000BASE-LX Ethernet for up to 10 km</v>
      </c>
      <c r="U19" s="210" t="s">
        <v>30</v>
      </c>
      <c r="V19" s="210"/>
      <c r="W19" s="210" t="s">
        <v>41</v>
      </c>
      <c r="X19" s="210" t="str">
        <f>HLOOKUP(Language!$C$3,Language!$E$1:$Z495,17,FALSE)</f>
        <v>Four 1 Gbps LC-type connector single mode fiber 1000BASE-LX Ethernet for up to 10 km</v>
      </c>
      <c r="Y19" s="210" t="s">
        <v>30</v>
      </c>
      <c r="Z19" s="210"/>
      <c r="AA19" s="210" t="s">
        <v>41</v>
      </c>
      <c r="AB19" s="210" t="str">
        <f>HLOOKUP(Language!$C$3,Language!$E$1:$Z495,17,FALSE)</f>
        <v>Four 1 Gbps LC-type connector single mode fiber 1000BASE-LX Ethernet for up to 10 km</v>
      </c>
      <c r="AC19" s="210" t="s">
        <v>30</v>
      </c>
      <c r="AD19" s="210"/>
      <c r="AE19" s="210" t="s">
        <v>41</v>
      </c>
    </row>
    <row r="20" spans="1:31">
      <c r="A20" s="209"/>
      <c r="B20" s="17"/>
      <c r="C20" s="210" t="str">
        <f>HLOOKUP(Language!$C$3,Language!$E$1:$Z496,18,FALSE)</f>
        <v>Four 1 Gbps LC-type connector single mode fiber 1000BASE-ZX Ethernet for up to 40 km</v>
      </c>
      <c r="D20" s="210" t="s">
        <v>42</v>
      </c>
      <c r="E20" s="210"/>
      <c r="F20" s="210" t="s">
        <v>41</v>
      </c>
      <c r="G20" s="210" t="str">
        <f>HLOOKUP(Language!$C$3,Language!$E$1:$Z496,18,FALSE)</f>
        <v>Four 1 Gbps LC-type connector single mode fiber 1000BASE-ZX Ethernet for up to 40 km</v>
      </c>
      <c r="H20" s="210" t="s">
        <v>42</v>
      </c>
      <c r="I20" s="210"/>
      <c r="J20" s="210" t="s">
        <v>41</v>
      </c>
      <c r="K20" s="210"/>
      <c r="L20" s="210" t="str">
        <f>HLOOKUP(Language!$C$3,Language!$E$1:$Z496,18,FALSE)</f>
        <v>Four 1 Gbps LC-type connector single mode fiber 1000BASE-ZX Ethernet for up to 40 km</v>
      </c>
      <c r="M20" s="210" t="s">
        <v>42</v>
      </c>
      <c r="N20" s="210"/>
      <c r="O20" s="210" t="s">
        <v>41</v>
      </c>
      <c r="P20" s="210" t="str">
        <f>HLOOKUP(Language!$C$3,Language!$E$1:$Z496,18,FALSE)</f>
        <v>Four 1 Gbps LC-type connector single mode fiber 1000BASE-ZX Ethernet for up to 40 km</v>
      </c>
      <c r="Q20" s="210" t="s">
        <v>42</v>
      </c>
      <c r="R20" s="210"/>
      <c r="S20" s="210" t="s">
        <v>41</v>
      </c>
      <c r="T20" s="210" t="str">
        <f>HLOOKUP(Language!$C$3,Language!$E$1:$Z496,18,FALSE)</f>
        <v>Four 1 Gbps LC-type connector single mode fiber 1000BASE-ZX Ethernet for up to 40 km</v>
      </c>
      <c r="U20" s="210" t="s">
        <v>42</v>
      </c>
      <c r="V20" s="210"/>
      <c r="W20" s="210" t="s">
        <v>41</v>
      </c>
      <c r="X20" s="210" t="str">
        <f>HLOOKUP(Language!$C$3,Language!$E$1:$Z496,18,FALSE)</f>
        <v>Four 1 Gbps LC-type connector single mode fiber 1000BASE-ZX Ethernet for up to 40 km</v>
      </c>
      <c r="Y20" s="210" t="s">
        <v>42</v>
      </c>
      <c r="Z20" s="210"/>
      <c r="AA20" s="210" t="s">
        <v>41</v>
      </c>
      <c r="AB20" s="210" t="str">
        <f>HLOOKUP(Language!$C$3,Language!$E$1:$Z496,18,FALSE)</f>
        <v>Four 1 Gbps LC-type connector single mode fiber 1000BASE-ZX Ethernet for up to 40 km</v>
      </c>
      <c r="AC20" s="210" t="s">
        <v>42</v>
      </c>
      <c r="AD20" s="210"/>
      <c r="AE20" s="210" t="s">
        <v>41</v>
      </c>
    </row>
    <row r="21" spans="1:31">
      <c r="A21" s="209"/>
      <c r="B21" s="17"/>
      <c r="C21" s="210" t="str">
        <f>HLOOKUP(Language!$C$3,Language!$E$1:$Z497,19,FALSE)</f>
        <v>Four 1 Gbps LC-type connector single mode fiber 1000BASE-ZX Ethernet for up to 80 km</v>
      </c>
      <c r="D21" s="210" t="s">
        <v>43</v>
      </c>
      <c r="E21" s="210"/>
      <c r="F21" s="210" t="s">
        <v>41</v>
      </c>
      <c r="G21" s="210" t="str">
        <f>HLOOKUP(Language!$C$3,Language!$E$1:$Z497,19,FALSE)</f>
        <v>Four 1 Gbps LC-type connector single mode fiber 1000BASE-ZX Ethernet for up to 80 km</v>
      </c>
      <c r="H21" s="210" t="s">
        <v>43</v>
      </c>
      <c r="I21" s="210"/>
      <c r="J21" s="210" t="s">
        <v>41</v>
      </c>
      <c r="K21" s="210"/>
      <c r="L21" s="210" t="str">
        <f>HLOOKUP(Language!$C$3,Language!$E$1:$Z497,19,FALSE)</f>
        <v>Four 1 Gbps LC-type connector single mode fiber 1000BASE-ZX Ethernet for up to 80 km</v>
      </c>
      <c r="M21" s="210" t="s">
        <v>43</v>
      </c>
      <c r="N21" s="210"/>
      <c r="O21" s="210" t="s">
        <v>41</v>
      </c>
      <c r="P21" s="210" t="str">
        <f>HLOOKUP(Language!$C$3,Language!$E$1:$Z497,19,FALSE)</f>
        <v>Four 1 Gbps LC-type connector single mode fiber 1000BASE-ZX Ethernet for up to 80 km</v>
      </c>
      <c r="Q21" s="210" t="s">
        <v>43</v>
      </c>
      <c r="R21" s="210"/>
      <c r="S21" s="210" t="s">
        <v>41</v>
      </c>
      <c r="T21" s="210" t="str">
        <f>HLOOKUP(Language!$C$3,Language!$E$1:$Z497,19,FALSE)</f>
        <v>Four 1 Gbps LC-type connector single mode fiber 1000BASE-ZX Ethernet for up to 80 km</v>
      </c>
      <c r="U21" s="210" t="s">
        <v>43</v>
      </c>
      <c r="V21" s="210"/>
      <c r="W21" s="210" t="s">
        <v>41</v>
      </c>
      <c r="X21" s="210" t="str">
        <f>HLOOKUP(Language!$C$3,Language!$E$1:$Z497,19,FALSE)</f>
        <v>Four 1 Gbps LC-type connector single mode fiber 1000BASE-ZX Ethernet for up to 80 km</v>
      </c>
      <c r="Y21" s="210" t="s">
        <v>43</v>
      </c>
      <c r="Z21" s="210"/>
      <c r="AA21" s="210" t="s">
        <v>41</v>
      </c>
      <c r="AB21" s="210" t="str">
        <f>HLOOKUP(Language!$C$3,Language!$E$1:$Z497,19,FALSE)</f>
        <v>Four 1 Gbps LC-type connector single mode fiber 1000BASE-ZX Ethernet for up to 80 km</v>
      </c>
      <c r="AC21" s="210" t="s">
        <v>43</v>
      </c>
      <c r="AD21" s="210"/>
      <c r="AE21" s="210" t="s">
        <v>41</v>
      </c>
    </row>
    <row r="22" spans="1:31">
      <c r="A22" s="209"/>
      <c r="B22" s="17"/>
      <c r="C22" s="210" t="str">
        <f>HLOOKUP(Language!$C$3,Language!$E$1:$Z498,20,FALSE)</f>
        <v>Four 100 Mbps LC-type connector multi mode fiber 100BASE-FX Ethernet for up to 2 km</v>
      </c>
      <c r="D22" s="210" t="s">
        <v>44</v>
      </c>
      <c r="E22" s="210"/>
      <c r="F22" s="210" t="s">
        <v>41</v>
      </c>
      <c r="G22" s="210" t="str">
        <f>HLOOKUP(Language!$C$3,Language!$E$1:$Z498,20,FALSE)</f>
        <v>Four 100 Mbps LC-type connector multi mode fiber 100BASE-FX Ethernet for up to 2 km</v>
      </c>
      <c r="H22" s="210" t="s">
        <v>44</v>
      </c>
      <c r="I22" s="210"/>
      <c r="J22" s="210" t="s">
        <v>41</v>
      </c>
      <c r="K22" s="210"/>
      <c r="L22" s="210" t="str">
        <f>HLOOKUP(Language!$C$3,Language!$E$1:$Z498,20,FALSE)</f>
        <v>Four 100 Mbps LC-type connector multi mode fiber 100BASE-FX Ethernet for up to 2 km</v>
      </c>
      <c r="M22" s="210" t="s">
        <v>44</v>
      </c>
      <c r="N22" s="210"/>
      <c r="O22" s="210" t="s">
        <v>41</v>
      </c>
      <c r="P22" s="210" t="str">
        <f>HLOOKUP(Language!$C$3,Language!$E$1:$Z498,20,FALSE)</f>
        <v>Four 100 Mbps LC-type connector multi mode fiber 100BASE-FX Ethernet for up to 2 km</v>
      </c>
      <c r="Q22" s="210" t="s">
        <v>44</v>
      </c>
      <c r="R22" s="210"/>
      <c r="S22" s="210" t="s">
        <v>41</v>
      </c>
      <c r="T22" s="210" t="str">
        <f>HLOOKUP(Language!$C$3,Language!$E$1:$Z498,20,FALSE)</f>
        <v>Four 100 Mbps LC-type connector multi mode fiber 100BASE-FX Ethernet for up to 2 km</v>
      </c>
      <c r="U22" s="210" t="s">
        <v>44</v>
      </c>
      <c r="V22" s="210"/>
      <c r="W22" s="210" t="s">
        <v>41</v>
      </c>
      <c r="X22" s="210" t="str">
        <f>HLOOKUP(Language!$C$3,Language!$E$1:$Z498,20,FALSE)</f>
        <v>Four 100 Mbps LC-type connector multi mode fiber 100BASE-FX Ethernet for up to 2 km</v>
      </c>
      <c r="Y22" s="210" t="s">
        <v>44</v>
      </c>
      <c r="Z22" s="210"/>
      <c r="AA22" s="210" t="s">
        <v>41</v>
      </c>
      <c r="AB22" s="210" t="str">
        <f>HLOOKUP(Language!$C$3,Language!$E$1:$Z498,20,FALSE)</f>
        <v>Four 100 Mbps LC-type connector multi mode fiber 100BASE-FX Ethernet for up to 2 km</v>
      </c>
      <c r="AC22" s="210" t="s">
        <v>44</v>
      </c>
      <c r="AD22" s="210"/>
      <c r="AE22" s="210" t="s">
        <v>41</v>
      </c>
    </row>
    <row r="23" spans="1:31">
      <c r="A23" s="209"/>
      <c r="B23" s="17"/>
      <c r="C23" s="210" t="str">
        <f>HLOOKUP(Language!$C$3,Language!$E$1:$Z499,21,FALSE)</f>
        <v>Four RJ45 copper 10/100BASE-TX</v>
      </c>
      <c r="D23" s="210" t="s">
        <v>115</v>
      </c>
      <c r="E23" s="210"/>
      <c r="F23" s="210" t="s">
        <v>41</v>
      </c>
      <c r="G23" s="210" t="str">
        <f>HLOOKUP(Language!$C$3,Language!$E$1:$Z499,21,FALSE)</f>
        <v>Four RJ45 copper 10/100BASE-TX</v>
      </c>
      <c r="H23" s="210" t="s">
        <v>115</v>
      </c>
      <c r="I23" s="210"/>
      <c r="J23" s="210" t="s">
        <v>41</v>
      </c>
      <c r="K23" s="210"/>
      <c r="L23" s="210" t="str">
        <f>HLOOKUP(Language!$C$3,Language!$E$1:$Z499,21,FALSE)</f>
        <v>Four RJ45 copper 10/100BASE-TX</v>
      </c>
      <c r="M23" s="210" t="s">
        <v>115</v>
      </c>
      <c r="N23" s="210"/>
      <c r="O23" s="210" t="s">
        <v>41</v>
      </c>
      <c r="P23" s="210" t="str">
        <f>HLOOKUP(Language!$C$3,Language!$E$1:$Z499,21,FALSE)</f>
        <v>Four RJ45 copper 10/100BASE-TX</v>
      </c>
      <c r="Q23" s="210" t="s">
        <v>115</v>
      </c>
      <c r="R23" s="210"/>
      <c r="S23" s="210" t="s">
        <v>41</v>
      </c>
      <c r="T23" s="210" t="str">
        <f>HLOOKUP(Language!$C$3,Language!$E$1:$Z499,21,FALSE)</f>
        <v>Four RJ45 copper 10/100BASE-TX</v>
      </c>
      <c r="U23" s="210" t="s">
        <v>115</v>
      </c>
      <c r="V23" s="210"/>
      <c r="W23" s="210" t="s">
        <v>41</v>
      </c>
      <c r="X23" s="210" t="str">
        <f>HLOOKUP(Language!$C$3,Language!$E$1:$Z499,21,FALSE)</f>
        <v>Four RJ45 copper 10/100BASE-TX</v>
      </c>
      <c r="Y23" s="210" t="s">
        <v>115</v>
      </c>
      <c r="Z23" s="210"/>
      <c r="AA23" s="210" t="s">
        <v>41</v>
      </c>
      <c r="AB23" s="210" t="str">
        <f>HLOOKUP(Language!$C$3,Language!$E$1:$Z499,21,FALSE)</f>
        <v>Four RJ45 copper 10/100BASE-TX</v>
      </c>
      <c r="AC23" s="210" t="s">
        <v>115</v>
      </c>
      <c r="AD23" s="210"/>
      <c r="AE23" s="210" t="s">
        <v>41</v>
      </c>
    </row>
    <row r="24" spans="1:31">
      <c r="A24" s="209"/>
      <c r="B24" s="17"/>
      <c r="C24" s="210" t="str">
        <f>HLOOKUP(Language!$C$3,Language!$E$1:$Z483,22,FALSE)</f>
        <v>Not installed</v>
      </c>
      <c r="D24" s="210" t="s">
        <v>28</v>
      </c>
      <c r="E24" s="210"/>
      <c r="F24" s="210"/>
      <c r="G24" s="210" t="str">
        <f>HLOOKUP(Language!$C$3,Language!$E$1:$Z500,48,FALSE)</f>
        <v>Four 1 Gbps RJ45 SFP Transceivers 10/100BASE-TX/1000BASE-T Ethernet ports (Not CE marked)</v>
      </c>
      <c r="H24" s="210" t="s">
        <v>116</v>
      </c>
      <c r="I24" s="210"/>
      <c r="J24" s="210" t="s">
        <v>41</v>
      </c>
      <c r="K24" s="210"/>
      <c r="L24" s="210" t="str">
        <f>HLOOKUP(Language!$C$3,Language!$E$1:$Z500,48,FALSE)</f>
        <v>Four 1 Gbps RJ45 SFP Transceivers 10/100BASE-TX/1000BASE-T Ethernet ports (Not CE marked)</v>
      </c>
      <c r="M24" s="210" t="s">
        <v>116</v>
      </c>
      <c r="N24" s="210"/>
      <c r="O24" s="210" t="s">
        <v>41</v>
      </c>
      <c r="P24" s="210" t="str">
        <f>HLOOKUP(Language!$C$3,Language!$E$1:$Z500,48,FALSE)</f>
        <v>Four 1 Gbps RJ45 SFP Transceivers 10/100BASE-TX/1000BASE-T Ethernet ports (Not CE marked)</v>
      </c>
      <c r="Q24" s="210" t="s">
        <v>116</v>
      </c>
      <c r="R24" s="210"/>
      <c r="S24" s="210" t="s">
        <v>41</v>
      </c>
      <c r="T24" s="210" t="str">
        <f>HLOOKUP(Language!$C$3,Language!$E$1:$Z500,48,FALSE)</f>
        <v>Four 1 Gbps RJ45 SFP Transceivers 10/100BASE-TX/1000BASE-T Ethernet ports (Not CE marked)</v>
      </c>
      <c r="U24" s="210" t="s">
        <v>116</v>
      </c>
      <c r="V24" s="210"/>
      <c r="W24" s="210" t="s">
        <v>41</v>
      </c>
      <c r="X24" s="210" t="str">
        <f>HLOOKUP(Language!$C$3,Language!$E$1:$Z500,48,FALSE)</f>
        <v>Four 1 Gbps RJ45 SFP Transceivers 10/100BASE-TX/1000BASE-T Ethernet ports (Not CE marked)</v>
      </c>
      <c r="Y24" s="210" t="s">
        <v>116</v>
      </c>
      <c r="Z24" s="210"/>
      <c r="AA24" s="210" t="s">
        <v>41</v>
      </c>
      <c r="AB24" s="210" t="str">
        <f>HLOOKUP(Language!$C$3,Language!$E$1:$Z500,51,FALSE)</f>
        <v>Two 1 Gbps LC-type connector multi mode fiber 1000BASE-SX Ethernet for up to 0.5 km + Two 100 Mbps LC-type connector multi mode fiber 100BASE-FX Ethernet for up to 2 km</v>
      </c>
      <c r="AC24" s="210" t="s">
        <v>119</v>
      </c>
      <c r="AD24" s="210"/>
      <c r="AE24" s="210" t="s">
        <v>41</v>
      </c>
    </row>
    <row r="25" spans="1:31">
      <c r="A25" s="209"/>
      <c r="B25" s="17"/>
      <c r="C25" s="210"/>
      <c r="D25" s="210"/>
      <c r="E25" s="210"/>
      <c r="F25" s="210"/>
      <c r="G25" s="210" t="str">
        <f>HLOOKUP(Language!$C$3,Language!$E$1:$Z501,49,FALSE)</f>
        <v>Two 1 Gbps RJ45 SFP Transceivers 10/100BASE-TX/1000BASE-T Ethernet ports + Two 1 Gbps LC-type connector multi mode fiber 1000BASE-SX Ethernet for up to 0.5 km</v>
      </c>
      <c r="H25" s="210" t="s">
        <v>117</v>
      </c>
      <c r="I25" s="210"/>
      <c r="J25" s="210" t="s">
        <v>41</v>
      </c>
      <c r="K25" s="210"/>
      <c r="L25" s="210" t="str">
        <f>HLOOKUP(Language!$C$3,Language!$E$1:$Z501,49,FALSE)</f>
        <v>Two 1 Gbps RJ45 SFP Transceivers 10/100BASE-TX/1000BASE-T Ethernet ports + Two 1 Gbps LC-type connector multi mode fiber 1000BASE-SX Ethernet for up to 0.5 km</v>
      </c>
      <c r="M25" s="210" t="s">
        <v>117</v>
      </c>
      <c r="N25" s="210"/>
      <c r="O25" s="210" t="s">
        <v>41</v>
      </c>
      <c r="P25" s="210" t="str">
        <f>HLOOKUP(Language!$C$3,Language!$E$1:$Z501,49,FALSE)</f>
        <v>Two 1 Gbps RJ45 SFP Transceivers 10/100BASE-TX/1000BASE-T Ethernet ports + Two 1 Gbps LC-type connector multi mode fiber 1000BASE-SX Ethernet for up to 0.5 km</v>
      </c>
      <c r="Q25" s="210" t="s">
        <v>117</v>
      </c>
      <c r="R25" s="210"/>
      <c r="S25" s="210" t="s">
        <v>41</v>
      </c>
      <c r="T25" s="210" t="str">
        <f>HLOOKUP(Language!$C$3,Language!$E$1:$Z501,49,FALSE)</f>
        <v>Two 1 Gbps RJ45 SFP Transceivers 10/100BASE-TX/1000BASE-T Ethernet ports + Two 1 Gbps LC-type connector multi mode fiber 1000BASE-SX Ethernet for up to 0.5 km</v>
      </c>
      <c r="U25" s="210" t="s">
        <v>117</v>
      </c>
      <c r="V25" s="210"/>
      <c r="W25" s="210" t="s">
        <v>41</v>
      </c>
      <c r="X25" s="210" t="str">
        <f>HLOOKUP(Language!$C$3,Language!$E$1:$Z501,49,FALSE)</f>
        <v>Two 1 Gbps RJ45 SFP Transceivers 10/100BASE-TX/1000BASE-T Ethernet ports + Two 1 Gbps LC-type connector multi mode fiber 1000BASE-SX Ethernet for up to 0.5 km</v>
      </c>
      <c r="Y25" s="210" t="s">
        <v>117</v>
      </c>
      <c r="Z25" s="210"/>
      <c r="AA25" s="210" t="s">
        <v>41</v>
      </c>
      <c r="AB25" s="210" t="str">
        <f>HLOOKUP(Language!$C$3,Language!$E$1:$Z501,69,FALSE)</f>
        <v>Four 1 Gbps RJ45 SFP Transceivers 10/100BASE-TX/1000BASE-T Ethernet ports (Not CE marked) (Withdraw)</v>
      </c>
      <c r="AC25" s="210" t="s">
        <v>116</v>
      </c>
      <c r="AD25" s="210"/>
      <c r="AE25" s="210" t="s">
        <v>41</v>
      </c>
    </row>
    <row r="26" spans="1:31">
      <c r="A26" s="209"/>
      <c r="B26" s="17"/>
      <c r="C26" s="210"/>
      <c r="D26" s="210"/>
      <c r="E26" s="210"/>
      <c r="F26" s="210"/>
      <c r="G26" s="210" t="str">
        <f>HLOOKUP(Language!$C$3,Language!$E$1:$Z502,50,FALSE)</f>
        <v>Two 1 Gbps RJ45 SFP Transceivers 10/100BASE-TX/1000BASE-T Ethernet ports + Two 100 Mbps LC-type connector multi mode fiber 100BASE-FX Ethernet for up to 2 km</v>
      </c>
      <c r="H26" s="210" t="s">
        <v>118</v>
      </c>
      <c r="I26" s="210"/>
      <c r="J26" s="210" t="s">
        <v>41</v>
      </c>
      <c r="K26" s="210"/>
      <c r="L26" s="210" t="str">
        <f>HLOOKUP(Language!$C$3,Language!$E$1:$Z502,50,FALSE)</f>
        <v>Two 1 Gbps RJ45 SFP Transceivers 10/100BASE-TX/1000BASE-T Ethernet ports + Two 100 Mbps LC-type connector multi mode fiber 100BASE-FX Ethernet for up to 2 km</v>
      </c>
      <c r="M26" s="210" t="s">
        <v>118</v>
      </c>
      <c r="N26" s="210"/>
      <c r="O26" s="210" t="s">
        <v>41</v>
      </c>
      <c r="P26" s="210" t="str">
        <f>HLOOKUP(Language!$C$3,Language!$E$1:$Z502,50,FALSE)</f>
        <v>Two 1 Gbps RJ45 SFP Transceivers 10/100BASE-TX/1000BASE-T Ethernet ports + Two 100 Mbps LC-type connector multi mode fiber 100BASE-FX Ethernet for up to 2 km</v>
      </c>
      <c r="Q26" s="210" t="s">
        <v>118</v>
      </c>
      <c r="R26" s="210"/>
      <c r="S26" s="210" t="s">
        <v>41</v>
      </c>
      <c r="T26" s="210" t="str">
        <f>HLOOKUP(Language!$C$3,Language!$E$1:$Z502,50,FALSE)</f>
        <v>Two 1 Gbps RJ45 SFP Transceivers 10/100BASE-TX/1000BASE-T Ethernet ports + Two 100 Mbps LC-type connector multi mode fiber 100BASE-FX Ethernet for up to 2 km</v>
      </c>
      <c r="U26" s="210" t="s">
        <v>118</v>
      </c>
      <c r="V26" s="210"/>
      <c r="W26" s="210" t="s">
        <v>41</v>
      </c>
      <c r="X26" s="210" t="str">
        <f>HLOOKUP(Language!$C$3,Language!$E$1:$Z502,50,FALSE)</f>
        <v>Two 1 Gbps RJ45 SFP Transceivers 10/100BASE-TX/1000BASE-T Ethernet ports + Two 100 Mbps LC-type connector multi mode fiber 100BASE-FX Ethernet for up to 2 km</v>
      </c>
      <c r="Y26" s="210" t="s">
        <v>118</v>
      </c>
      <c r="Z26" s="210"/>
      <c r="AA26" s="210" t="s">
        <v>41</v>
      </c>
      <c r="AB26" s="210" t="str">
        <f>HLOOKUP(Language!$C$3,Language!$E$1:$Z502,70,FALSE)</f>
        <v>Two 1 Gbps RJ45 SFP Transceivers 10/100BASE-TX/1000BASE-T Ethernet ports + Two 1 Gbps LC-type connector multi mode fiber 1000BASE-SX Ethernet for up to 0.5 km  (Withdraw)</v>
      </c>
      <c r="AC26" s="210" t="s">
        <v>117</v>
      </c>
      <c r="AD26" s="210"/>
      <c r="AE26" s="210" t="s">
        <v>41</v>
      </c>
    </row>
    <row r="27" spans="1:31">
      <c r="A27" s="209"/>
      <c r="B27" s="17"/>
      <c r="C27" s="210"/>
      <c r="D27" s="210"/>
      <c r="E27" s="210"/>
      <c r="F27" s="210"/>
      <c r="G27" s="210" t="str">
        <f>HLOOKUP(Language!$C$3,Language!$E$1:$Z503,51,FALSE)</f>
        <v>Two 1 Gbps LC-type connector multi mode fiber 1000BASE-SX Ethernet for up to 0.5 km + Two 100 Mbps LC-type connector multi mode fiber 100BASE-FX Ethernet for up to 2 km</v>
      </c>
      <c r="H27" s="210" t="s">
        <v>119</v>
      </c>
      <c r="I27" s="210"/>
      <c r="J27" s="210" t="s">
        <v>41</v>
      </c>
      <c r="K27" s="210"/>
      <c r="L27" s="210" t="str">
        <f>HLOOKUP(Language!$C$3,Language!$E$1:$Z503,51,FALSE)</f>
        <v>Two 1 Gbps LC-type connector multi mode fiber 1000BASE-SX Ethernet for up to 0.5 km + Two 100 Mbps LC-type connector multi mode fiber 100BASE-FX Ethernet for up to 2 km</v>
      </c>
      <c r="M27" s="210" t="s">
        <v>119</v>
      </c>
      <c r="N27" s="210"/>
      <c r="O27" s="210" t="s">
        <v>41</v>
      </c>
      <c r="P27" s="210" t="str">
        <f>HLOOKUP(Language!$C$3,Language!$E$1:$Z503,51,FALSE)</f>
        <v>Two 1 Gbps LC-type connector multi mode fiber 1000BASE-SX Ethernet for up to 0.5 km + Two 100 Mbps LC-type connector multi mode fiber 100BASE-FX Ethernet for up to 2 km</v>
      </c>
      <c r="Q27" s="210" t="s">
        <v>119</v>
      </c>
      <c r="R27" s="210"/>
      <c r="S27" s="210" t="s">
        <v>41</v>
      </c>
      <c r="T27" s="210" t="str">
        <f>HLOOKUP(Language!$C$3,Language!$E$1:$Z503,51,FALSE)</f>
        <v>Two 1 Gbps LC-type connector multi mode fiber 1000BASE-SX Ethernet for up to 0.5 km + Two 100 Mbps LC-type connector multi mode fiber 100BASE-FX Ethernet for up to 2 km</v>
      </c>
      <c r="U27" s="210" t="s">
        <v>119</v>
      </c>
      <c r="V27" s="210"/>
      <c r="W27" s="210" t="s">
        <v>41</v>
      </c>
      <c r="X27" s="210" t="str">
        <f>HLOOKUP(Language!$C$3,Language!$E$1:$Z503,51,FALSE)</f>
        <v>Two 1 Gbps LC-type connector multi mode fiber 1000BASE-SX Ethernet for up to 0.5 km + Two 100 Mbps LC-type connector multi mode fiber 100BASE-FX Ethernet for up to 2 km</v>
      </c>
      <c r="Y27" s="210" t="s">
        <v>119</v>
      </c>
      <c r="Z27" s="210"/>
      <c r="AA27" s="210" t="s">
        <v>41</v>
      </c>
      <c r="AB27" s="210" t="str">
        <f>HLOOKUP(Language!$C$3,Language!$E$1:$Z503,71,FALSE)</f>
        <v>Two 1 Gbps RJ45 SFP Transceivers 10/100BASE-TX/1000BASE-T Ethernet ports + Two 100 Mbps LC-type connector multi mode fiber 100BASE-FX Ethernet for up to 2 km (Withdraw)</v>
      </c>
      <c r="AC27" s="210" t="s">
        <v>118</v>
      </c>
      <c r="AD27" s="210"/>
      <c r="AE27" s="210" t="s">
        <v>41</v>
      </c>
    </row>
    <row r="28" spans="1:31">
      <c r="A28" s="209"/>
      <c r="B28" s="17"/>
      <c r="C28" s="15"/>
      <c r="D28" s="15"/>
      <c r="E28" s="210"/>
      <c r="F28" s="210" t="s">
        <v>41</v>
      </c>
      <c r="G28" s="210" t="str">
        <f>HLOOKUP(Language!$C$3,Language!$E$1:$Z483,22,FALSE)</f>
        <v>Not installed</v>
      </c>
      <c r="H28" s="210" t="s">
        <v>28</v>
      </c>
      <c r="I28" s="210"/>
      <c r="J28" s="210" t="s">
        <v>41</v>
      </c>
      <c r="K28" s="210"/>
      <c r="L28" s="210" t="str">
        <f>HLOOKUP(Language!$C$3,Language!$E$1:$Z483,22,FALSE)</f>
        <v>Not installed</v>
      </c>
      <c r="M28" s="210" t="s">
        <v>28</v>
      </c>
      <c r="N28" s="210"/>
      <c r="O28" s="210" t="s">
        <v>41</v>
      </c>
      <c r="P28" s="210" t="str">
        <f>HLOOKUP(Language!$C$3,Language!$E$1:$Z483,22,FALSE)</f>
        <v>Not installed</v>
      </c>
      <c r="Q28" s="210" t="s">
        <v>28</v>
      </c>
      <c r="R28" s="210"/>
      <c r="S28" s="210" t="s">
        <v>41</v>
      </c>
      <c r="T28" s="210" t="str">
        <f>HLOOKUP(Language!$C$3,Language!$E$1:$Z483,22,FALSE)</f>
        <v>Not installed</v>
      </c>
      <c r="U28" s="210" t="s">
        <v>28</v>
      </c>
      <c r="V28" s="210"/>
      <c r="W28" s="210" t="s">
        <v>41</v>
      </c>
      <c r="X28" s="210" t="str">
        <f>HLOOKUP(Language!$C$3,Language!$E$1:$Z483,22,FALSE)</f>
        <v>Not installed</v>
      </c>
      <c r="Y28" s="210" t="s">
        <v>28</v>
      </c>
      <c r="Z28" s="210"/>
      <c r="AA28" s="210" t="s">
        <v>41</v>
      </c>
      <c r="AB28" s="210" t="str">
        <f>HLOOKUP(Language!$C$3,Language!$E$1:$Z483,73,FALSE)</f>
        <v>Not installed (Withdraw)</v>
      </c>
      <c r="AC28" s="210" t="s">
        <v>28</v>
      </c>
      <c r="AD28" s="210"/>
      <c r="AE28" s="210" t="s">
        <v>41</v>
      </c>
    </row>
    <row r="29" spans="1:31">
      <c r="A29" s="211"/>
      <c r="B29" s="27"/>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row>
    <row r="30" spans="1:31">
      <c r="A30" s="207">
        <v>5</v>
      </c>
      <c r="B30" s="16" t="str">
        <f>HLOOKUP(Language!$C$3,Language!$E$1:$Z500,10,FALSE)</f>
        <v>Interface Module 2</v>
      </c>
      <c r="C30" s="208" t="str">
        <f>HLOOKUP(Language!$C$3,Language!$E$1:$Z502,15,FALSE)</f>
        <v>Four slots for SFP transceivers</v>
      </c>
      <c r="D30" s="208" t="s">
        <v>27</v>
      </c>
      <c r="E30" s="208"/>
      <c r="F30" s="208" t="s">
        <v>41</v>
      </c>
      <c r="G30" s="208" t="str">
        <f>HLOOKUP(Language!$C$3,Language!$E$1:$Z502,15,FALSE)</f>
        <v>Four slots for SFP transceivers</v>
      </c>
      <c r="H30" s="208" t="s">
        <v>27</v>
      </c>
      <c r="I30" s="208"/>
      <c r="J30" s="208" t="s">
        <v>41</v>
      </c>
      <c r="K30" s="208"/>
      <c r="L30" s="208" t="str">
        <f>HLOOKUP(Language!$C$3,Language!$E$1:$Z502,15,FALSE)</f>
        <v>Four slots for SFP transceivers</v>
      </c>
      <c r="M30" s="208" t="s">
        <v>27</v>
      </c>
      <c r="N30" s="208"/>
      <c r="O30" s="208" t="s">
        <v>41</v>
      </c>
      <c r="P30" s="208" t="str">
        <f>HLOOKUP(Language!$C$3,Language!$E$1:$Z502,15,FALSE)</f>
        <v>Four slots for SFP transceivers</v>
      </c>
      <c r="Q30" s="208" t="s">
        <v>27</v>
      </c>
      <c r="R30" s="208"/>
      <c r="S30" s="208" t="s">
        <v>41</v>
      </c>
      <c r="T30" s="208" t="str">
        <f>HLOOKUP(Language!$C$3,Language!$E$1:$Z502,15,FALSE)</f>
        <v>Four slots for SFP transceivers</v>
      </c>
      <c r="U30" s="208" t="s">
        <v>27</v>
      </c>
      <c r="V30" s="208"/>
      <c r="W30" s="208" t="s">
        <v>41</v>
      </c>
      <c r="X30" s="208" t="str">
        <f>HLOOKUP(Language!$C$3,Language!$E$1:$Z502,15,FALSE)</f>
        <v>Four slots for SFP transceivers</v>
      </c>
      <c r="Y30" s="208" t="s">
        <v>27</v>
      </c>
      <c r="Z30" s="208"/>
      <c r="AA30" s="208" t="s">
        <v>41</v>
      </c>
      <c r="AB30" s="208" t="str">
        <f>HLOOKUP(Language!$C$3,Language!$E$1:$Z502,15,FALSE)</f>
        <v>Four slots for SFP transceivers</v>
      </c>
      <c r="AC30" s="208" t="s">
        <v>27</v>
      </c>
      <c r="AD30" s="208"/>
      <c r="AE30" s="208" t="s">
        <v>41</v>
      </c>
    </row>
    <row r="31" spans="1:31">
      <c r="A31" s="209"/>
      <c r="B31" s="17"/>
      <c r="C31" s="210" t="str">
        <f>HLOOKUP(Language!$C$3,Language!$E$1:$Z503,20,FALSE)</f>
        <v>Four 100 Mbps LC-type connector multi mode fiber 100BASE-FX Ethernet for up to 2 km</v>
      </c>
      <c r="D31" s="210" t="s">
        <v>44</v>
      </c>
      <c r="E31" s="210"/>
      <c r="F31" s="210" t="s">
        <v>41</v>
      </c>
      <c r="G31" s="210" t="str">
        <f>HLOOKUP(Language!$C$3,Language!$E$1:$Z503,20,FALSE)</f>
        <v>Four 100 Mbps LC-type connector multi mode fiber 100BASE-FX Ethernet for up to 2 km</v>
      </c>
      <c r="H31" s="210" t="s">
        <v>44</v>
      </c>
      <c r="I31" s="210"/>
      <c r="J31" s="210" t="s">
        <v>41</v>
      </c>
      <c r="K31" s="210"/>
      <c r="L31" s="210" t="str">
        <f>HLOOKUP(Language!$C$3,Language!$E$1:$Z503,20,FALSE)</f>
        <v>Four 100 Mbps LC-type connector multi mode fiber 100BASE-FX Ethernet for up to 2 km</v>
      </c>
      <c r="M31" s="210" t="s">
        <v>44</v>
      </c>
      <c r="N31" s="210"/>
      <c r="O31" s="210" t="s">
        <v>41</v>
      </c>
      <c r="P31" s="210" t="str">
        <f>HLOOKUP(Language!$C$3,Language!$E$1:$Z503,20,FALSE)</f>
        <v>Four 100 Mbps LC-type connector multi mode fiber 100BASE-FX Ethernet for up to 2 km</v>
      </c>
      <c r="Q31" s="210" t="s">
        <v>44</v>
      </c>
      <c r="R31" s="210"/>
      <c r="S31" s="210" t="s">
        <v>41</v>
      </c>
      <c r="T31" s="210" t="str">
        <f>HLOOKUP(Language!$C$3,Language!$E$1:$Z503,20,FALSE)</f>
        <v>Four 100 Mbps LC-type connector multi mode fiber 100BASE-FX Ethernet for up to 2 km</v>
      </c>
      <c r="U31" s="210" t="s">
        <v>44</v>
      </c>
      <c r="V31" s="210"/>
      <c r="W31" s="210" t="s">
        <v>41</v>
      </c>
      <c r="X31" s="210" t="str">
        <f>HLOOKUP(Language!$C$3,Language!$E$1:$Z503,20,FALSE)</f>
        <v>Four 100 Mbps LC-type connector multi mode fiber 100BASE-FX Ethernet for up to 2 km</v>
      </c>
      <c r="Y31" s="210" t="s">
        <v>44</v>
      </c>
      <c r="Z31" s="210"/>
      <c r="AA31" s="210" t="s">
        <v>41</v>
      </c>
      <c r="AB31" s="210" t="str">
        <f>HLOOKUP(Language!$C$3,Language!$E$1:$Z503,20,FALSE)</f>
        <v>Four 100 Mbps LC-type connector multi mode fiber 100BASE-FX Ethernet for up to 2 km</v>
      </c>
      <c r="AC31" s="210" t="s">
        <v>44</v>
      </c>
      <c r="AD31" s="210"/>
      <c r="AE31" s="210" t="s">
        <v>41</v>
      </c>
    </row>
    <row r="32" spans="1:31">
      <c r="A32" s="209"/>
      <c r="B32" s="17"/>
      <c r="C32" s="210" t="str">
        <f>HLOOKUP(Language!$C$3,Language!$E$1:$Z504,21,FALSE)</f>
        <v>Four RJ45 copper 10/100BASE-TX</v>
      </c>
      <c r="D32" s="210" t="s">
        <v>115</v>
      </c>
      <c r="E32" s="210"/>
      <c r="F32" s="210" t="s">
        <v>41</v>
      </c>
      <c r="G32" s="210" t="str">
        <f>HLOOKUP(Language!$C$3,Language!$E$1:$Z504,21,FALSE)</f>
        <v>Four RJ45 copper 10/100BASE-TX</v>
      </c>
      <c r="H32" s="210" t="s">
        <v>115</v>
      </c>
      <c r="I32" s="210"/>
      <c r="J32" s="210" t="s">
        <v>41</v>
      </c>
      <c r="K32" s="210"/>
      <c r="L32" s="210" t="str">
        <f>HLOOKUP(Language!$C$3,Language!$E$1:$Z504,21,FALSE)</f>
        <v>Four RJ45 copper 10/100BASE-TX</v>
      </c>
      <c r="M32" s="210" t="s">
        <v>115</v>
      </c>
      <c r="N32" s="210"/>
      <c r="O32" s="210" t="s">
        <v>41</v>
      </c>
      <c r="P32" s="210" t="str">
        <f>HLOOKUP(Language!$C$3,Language!$E$1:$Z504,21,FALSE)</f>
        <v>Four RJ45 copper 10/100BASE-TX</v>
      </c>
      <c r="Q32" s="210" t="s">
        <v>115</v>
      </c>
      <c r="R32" s="210"/>
      <c r="S32" s="210" t="s">
        <v>41</v>
      </c>
      <c r="T32" s="210" t="str">
        <f>HLOOKUP(Language!$C$3,Language!$E$1:$Z504,21,FALSE)</f>
        <v>Four RJ45 copper 10/100BASE-TX</v>
      </c>
      <c r="U32" s="210" t="s">
        <v>115</v>
      </c>
      <c r="V32" s="210"/>
      <c r="W32" s="210" t="s">
        <v>41</v>
      </c>
      <c r="X32" s="210" t="str">
        <f>HLOOKUP(Language!$C$3,Language!$E$1:$Z504,21,FALSE)</f>
        <v>Four RJ45 copper 10/100BASE-TX</v>
      </c>
      <c r="Y32" s="210" t="s">
        <v>115</v>
      </c>
      <c r="Z32" s="210"/>
      <c r="AA32" s="210" t="s">
        <v>41</v>
      </c>
      <c r="AB32" s="210" t="str">
        <f>HLOOKUP(Language!$C$3,Language!$E$1:$Z504,21,FALSE)</f>
        <v>Four RJ45 copper 10/100BASE-TX</v>
      </c>
      <c r="AC32" s="210" t="s">
        <v>115</v>
      </c>
      <c r="AD32" s="210"/>
      <c r="AE32" s="210" t="s">
        <v>41</v>
      </c>
    </row>
    <row r="33" spans="1:31">
      <c r="A33" s="209"/>
      <c r="B33" s="17"/>
      <c r="C33" s="210" t="str">
        <f>HLOOKUP(Language!$C$3,Language!$E$1:$Z488,22,FALSE)</f>
        <v>Not installed</v>
      </c>
      <c r="D33" s="210" t="s">
        <v>28</v>
      </c>
      <c r="E33" s="210"/>
      <c r="F33" s="210" t="s">
        <v>41</v>
      </c>
      <c r="G33" s="210" t="str">
        <f>HLOOKUP(Language!$C$3,Language!$E$1:$Z488,22,FALSE)</f>
        <v>Not installed</v>
      </c>
      <c r="H33" s="210" t="s">
        <v>28</v>
      </c>
      <c r="I33" s="210"/>
      <c r="J33" s="210" t="s">
        <v>41</v>
      </c>
      <c r="K33" s="210"/>
      <c r="L33" s="210" t="str">
        <f>HLOOKUP(Language!$C$3,Language!$E$1:$Z488,22,FALSE)</f>
        <v>Not installed</v>
      </c>
      <c r="M33" s="210" t="s">
        <v>28</v>
      </c>
      <c r="N33" s="210"/>
      <c r="O33" s="210" t="s">
        <v>41</v>
      </c>
      <c r="P33" s="210" t="str">
        <f>HLOOKUP(Language!$C$3,Language!$E$1:$Z488,22,FALSE)</f>
        <v>Not installed</v>
      </c>
      <c r="Q33" s="210" t="s">
        <v>28</v>
      </c>
      <c r="R33" s="210"/>
      <c r="S33" s="210" t="s">
        <v>41</v>
      </c>
      <c r="T33" s="210" t="str">
        <f>HLOOKUP(Language!$C$3,Language!$E$1:$Z488,22,FALSE)</f>
        <v>Not installed</v>
      </c>
      <c r="U33" s="210" t="s">
        <v>28</v>
      </c>
      <c r="V33" s="210"/>
      <c r="W33" s="210" t="s">
        <v>41</v>
      </c>
      <c r="X33" s="210" t="str">
        <f>HLOOKUP(Language!$C$3,Language!$E$1:$Z488,22,FALSE)</f>
        <v>Not installed</v>
      </c>
      <c r="Y33" s="210" t="s">
        <v>28</v>
      </c>
      <c r="Z33" s="210"/>
      <c r="AA33" s="210" t="s">
        <v>41</v>
      </c>
      <c r="AB33" s="210" t="str">
        <f>HLOOKUP(Language!$C$3,Language!$E$1:$Z488,22,FALSE)</f>
        <v>Not installed</v>
      </c>
      <c r="AC33" s="210" t="s">
        <v>28</v>
      </c>
      <c r="AD33" s="210"/>
      <c r="AE33" s="210" t="s">
        <v>41</v>
      </c>
    </row>
    <row r="34" spans="1:31">
      <c r="A34" s="211"/>
      <c r="B34" s="27"/>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row>
    <row r="35" spans="1:31">
      <c r="A35" s="207">
        <v>6</v>
      </c>
      <c r="B35" s="16" t="str">
        <f>HLOOKUP(Language!$C$3,Language!$E$1:$Z510,11,FALSE)</f>
        <v>Interface Module 3</v>
      </c>
      <c r="C35" s="208" t="str">
        <f>HLOOKUP(Language!$C$3,Language!$E$1:$Z507,15,FALSE)</f>
        <v>Four slots for SFP transceivers</v>
      </c>
      <c r="D35" s="208" t="s">
        <v>27</v>
      </c>
      <c r="E35" s="208"/>
      <c r="F35" s="208" t="s">
        <v>41</v>
      </c>
      <c r="G35" s="208" t="str">
        <f>HLOOKUP(Language!$C$3,Language!$E$1:$Z507,15,FALSE)</f>
        <v>Four slots for SFP transceivers</v>
      </c>
      <c r="H35" s="208" t="s">
        <v>27</v>
      </c>
      <c r="I35" s="208"/>
      <c r="J35" s="208" t="s">
        <v>41</v>
      </c>
      <c r="K35" s="208"/>
      <c r="L35" s="208" t="str">
        <f>HLOOKUP(Language!$C$3,Language!$E$1:$Z507,15,FALSE)</f>
        <v>Four slots for SFP transceivers</v>
      </c>
      <c r="M35" s="208" t="s">
        <v>27</v>
      </c>
      <c r="N35" s="208"/>
      <c r="O35" s="208" t="s">
        <v>41</v>
      </c>
      <c r="P35" s="208" t="str">
        <f>HLOOKUP(Language!$C$3,Language!$E$1:$Z507,15,FALSE)</f>
        <v>Four slots for SFP transceivers</v>
      </c>
      <c r="Q35" s="208" t="s">
        <v>27</v>
      </c>
      <c r="R35" s="208"/>
      <c r="S35" s="208" t="s">
        <v>41</v>
      </c>
      <c r="T35" s="208" t="str">
        <f>HLOOKUP(Language!$C$3,Language!$E$1:$Z507,15,FALSE)</f>
        <v>Four slots for SFP transceivers</v>
      </c>
      <c r="U35" s="208" t="s">
        <v>27</v>
      </c>
      <c r="V35" s="208"/>
      <c r="W35" s="208" t="s">
        <v>41</v>
      </c>
      <c r="X35" s="208" t="str">
        <f>HLOOKUP(Language!$C$3,Language!$E$1:$Z507,15,FALSE)</f>
        <v>Four slots for SFP transceivers</v>
      </c>
      <c r="Y35" s="208" t="s">
        <v>27</v>
      </c>
      <c r="Z35" s="208"/>
      <c r="AA35" s="208" t="s">
        <v>41</v>
      </c>
      <c r="AB35" s="208" t="str">
        <f>HLOOKUP(Language!$C$3,Language!$E$1:$Z507,15,FALSE)</f>
        <v>Four slots for SFP transceivers</v>
      </c>
      <c r="AC35" s="208" t="s">
        <v>27</v>
      </c>
      <c r="AD35" s="208"/>
      <c r="AE35" s="208" t="s">
        <v>41</v>
      </c>
    </row>
    <row r="36" spans="1:31">
      <c r="A36" s="209"/>
      <c r="B36" s="17"/>
      <c r="C36" s="210" t="str">
        <f>HLOOKUP(Language!$C$3,Language!$E$1:$Z508,20,FALSE)</f>
        <v>Four 100 Mbps LC-type connector multi mode fiber 100BASE-FX Ethernet for up to 2 km</v>
      </c>
      <c r="D36" s="210" t="s">
        <v>44</v>
      </c>
      <c r="E36" s="210"/>
      <c r="F36" s="210" t="s">
        <v>41</v>
      </c>
      <c r="G36" s="210" t="str">
        <f>HLOOKUP(Language!$C$3,Language!$E$1:$Z508,20,FALSE)</f>
        <v>Four 100 Mbps LC-type connector multi mode fiber 100BASE-FX Ethernet for up to 2 km</v>
      </c>
      <c r="H36" s="210" t="s">
        <v>44</v>
      </c>
      <c r="I36" s="210"/>
      <c r="J36" s="210" t="s">
        <v>41</v>
      </c>
      <c r="K36" s="210"/>
      <c r="L36" s="210" t="str">
        <f>HLOOKUP(Language!$C$3,Language!$E$1:$Z508,20,FALSE)</f>
        <v>Four 100 Mbps LC-type connector multi mode fiber 100BASE-FX Ethernet for up to 2 km</v>
      </c>
      <c r="M36" s="210" t="s">
        <v>44</v>
      </c>
      <c r="N36" s="210"/>
      <c r="O36" s="210" t="s">
        <v>41</v>
      </c>
      <c r="P36" s="210" t="str">
        <f>HLOOKUP(Language!$C$3,Language!$E$1:$Z508,20,FALSE)</f>
        <v>Four 100 Mbps LC-type connector multi mode fiber 100BASE-FX Ethernet for up to 2 km</v>
      </c>
      <c r="Q36" s="210" t="s">
        <v>44</v>
      </c>
      <c r="R36" s="210"/>
      <c r="S36" s="210" t="s">
        <v>41</v>
      </c>
      <c r="T36" s="210" t="str">
        <f>HLOOKUP(Language!$C$3,Language!$E$1:$Z508,20,FALSE)</f>
        <v>Four 100 Mbps LC-type connector multi mode fiber 100BASE-FX Ethernet for up to 2 km</v>
      </c>
      <c r="U36" s="210" t="s">
        <v>44</v>
      </c>
      <c r="V36" s="210"/>
      <c r="W36" s="210" t="s">
        <v>41</v>
      </c>
      <c r="X36" s="210" t="str">
        <f>HLOOKUP(Language!$C$3,Language!$E$1:$Z508,20,FALSE)</f>
        <v>Four 100 Mbps LC-type connector multi mode fiber 100BASE-FX Ethernet for up to 2 km</v>
      </c>
      <c r="Y36" s="210" t="s">
        <v>44</v>
      </c>
      <c r="Z36" s="210"/>
      <c r="AA36" s="210" t="s">
        <v>41</v>
      </c>
      <c r="AB36" s="210" t="str">
        <f>HLOOKUP(Language!$C$3,Language!$E$1:$Z508,20,FALSE)</f>
        <v>Four 100 Mbps LC-type connector multi mode fiber 100BASE-FX Ethernet for up to 2 km</v>
      </c>
      <c r="AC36" s="210" t="s">
        <v>44</v>
      </c>
      <c r="AD36" s="210"/>
      <c r="AE36" s="210" t="s">
        <v>41</v>
      </c>
    </row>
    <row r="37" spans="1:31">
      <c r="A37" s="209"/>
      <c r="B37" s="17"/>
      <c r="C37" s="210" t="str">
        <f>HLOOKUP(Language!$C$3,Language!$E$1:$Z509,21,FALSE)</f>
        <v>Four RJ45 copper 10/100BASE-TX</v>
      </c>
      <c r="D37" s="210" t="s">
        <v>115</v>
      </c>
      <c r="E37" s="210"/>
      <c r="F37" s="210" t="s">
        <v>41</v>
      </c>
      <c r="G37" s="210" t="str">
        <f>HLOOKUP(Language!$C$3,Language!$E$1:$Z509,21,FALSE)</f>
        <v>Four RJ45 copper 10/100BASE-TX</v>
      </c>
      <c r="H37" s="210" t="s">
        <v>115</v>
      </c>
      <c r="I37" s="210"/>
      <c r="J37" s="210" t="s">
        <v>41</v>
      </c>
      <c r="K37" s="210"/>
      <c r="L37" s="210" t="str">
        <f>HLOOKUP(Language!$C$3,Language!$E$1:$Z509,21,FALSE)</f>
        <v>Four RJ45 copper 10/100BASE-TX</v>
      </c>
      <c r="M37" s="210" t="s">
        <v>115</v>
      </c>
      <c r="N37" s="210"/>
      <c r="O37" s="210" t="s">
        <v>41</v>
      </c>
      <c r="P37" s="210" t="str">
        <f>HLOOKUP(Language!$C$3,Language!$E$1:$Z509,21,FALSE)</f>
        <v>Four RJ45 copper 10/100BASE-TX</v>
      </c>
      <c r="Q37" s="210" t="s">
        <v>115</v>
      </c>
      <c r="R37" s="210"/>
      <c r="S37" s="210" t="s">
        <v>41</v>
      </c>
      <c r="T37" s="210" t="str">
        <f>HLOOKUP(Language!$C$3,Language!$E$1:$Z509,21,FALSE)</f>
        <v>Four RJ45 copper 10/100BASE-TX</v>
      </c>
      <c r="U37" s="210" t="s">
        <v>115</v>
      </c>
      <c r="V37" s="210"/>
      <c r="W37" s="210" t="s">
        <v>41</v>
      </c>
      <c r="X37" s="210" t="str">
        <f>HLOOKUP(Language!$C$3,Language!$E$1:$Z509,21,FALSE)</f>
        <v>Four RJ45 copper 10/100BASE-TX</v>
      </c>
      <c r="Y37" s="210" t="s">
        <v>115</v>
      </c>
      <c r="Z37" s="210"/>
      <c r="AA37" s="210" t="s">
        <v>41</v>
      </c>
      <c r="AB37" s="210" t="str">
        <f>HLOOKUP(Language!$C$3,Language!$E$1:$Z509,21,FALSE)</f>
        <v>Four RJ45 copper 10/100BASE-TX</v>
      </c>
      <c r="AC37" s="210" t="s">
        <v>115</v>
      </c>
      <c r="AD37" s="210"/>
      <c r="AE37" s="210" t="s">
        <v>41</v>
      </c>
    </row>
    <row r="38" spans="1:31">
      <c r="A38" s="209"/>
      <c r="B38" s="17"/>
      <c r="C38" s="210" t="str">
        <f>HLOOKUP(Language!$C$3,Language!$E$1:$Z493,22,FALSE)</f>
        <v>Not installed</v>
      </c>
      <c r="D38" s="210" t="s">
        <v>28</v>
      </c>
      <c r="E38" s="210"/>
      <c r="F38" s="210" t="s">
        <v>41</v>
      </c>
      <c r="G38" s="210" t="str">
        <f>HLOOKUP(Language!$C$3,Language!$E$1:$Z493,22,FALSE)</f>
        <v>Not installed</v>
      </c>
      <c r="H38" s="210" t="s">
        <v>28</v>
      </c>
      <c r="I38" s="210"/>
      <c r="J38" s="210" t="s">
        <v>41</v>
      </c>
      <c r="K38" s="210"/>
      <c r="L38" s="210" t="str">
        <f>HLOOKUP(Language!$C$3,Language!$E$1:$Z493,22,FALSE)</f>
        <v>Not installed</v>
      </c>
      <c r="M38" s="210" t="s">
        <v>28</v>
      </c>
      <c r="N38" s="210"/>
      <c r="O38" s="210" t="s">
        <v>41</v>
      </c>
      <c r="P38" s="210" t="str">
        <f>HLOOKUP(Language!$C$3,Language!$E$1:$Z493,22,FALSE)</f>
        <v>Not installed</v>
      </c>
      <c r="Q38" s="210" t="s">
        <v>28</v>
      </c>
      <c r="R38" s="210"/>
      <c r="S38" s="210" t="s">
        <v>41</v>
      </c>
      <c r="T38" s="210" t="str">
        <f>HLOOKUP(Language!$C$3,Language!$E$1:$Z493,22,FALSE)</f>
        <v>Not installed</v>
      </c>
      <c r="U38" s="210" t="s">
        <v>28</v>
      </c>
      <c r="V38" s="210"/>
      <c r="W38" s="210" t="s">
        <v>41</v>
      </c>
      <c r="X38" s="210" t="str">
        <f>HLOOKUP(Language!$C$3,Language!$E$1:$Z493,22,FALSE)</f>
        <v>Not installed</v>
      </c>
      <c r="Y38" s="210" t="s">
        <v>28</v>
      </c>
      <c r="Z38" s="210"/>
      <c r="AA38" s="210" t="s">
        <v>41</v>
      </c>
      <c r="AB38" s="210" t="str">
        <f>HLOOKUP(Language!$C$3,Language!$E$1:$Z493,22,FALSE)</f>
        <v>Not installed</v>
      </c>
      <c r="AC38" s="210" t="s">
        <v>28</v>
      </c>
      <c r="AD38" s="210"/>
      <c r="AE38" s="210" t="s">
        <v>41</v>
      </c>
    </row>
    <row r="39" spans="1:31">
      <c r="A39" s="211"/>
      <c r="B39" s="27"/>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row>
    <row r="40" spans="1:31">
      <c r="A40" s="207">
        <v>7</v>
      </c>
      <c r="B40" s="16" t="str">
        <f>HLOOKUP(Language!$C$3,Language!$E$1:$Z520,12,FALSE)</f>
        <v>Interface Module 4</v>
      </c>
      <c r="C40" s="208" t="str">
        <f>HLOOKUP(Language!$C$3,Language!$E$1:$Z512,15,FALSE)</f>
        <v>Four slots for SFP transceivers</v>
      </c>
      <c r="D40" s="208" t="s">
        <v>27</v>
      </c>
      <c r="E40" s="208"/>
      <c r="F40" s="208" t="s">
        <v>41</v>
      </c>
      <c r="G40" s="208" t="str">
        <f>HLOOKUP(Language!$C$3,Language!$E$1:$Z512,15,FALSE)</f>
        <v>Four slots for SFP transceivers</v>
      </c>
      <c r="H40" s="208" t="s">
        <v>27</v>
      </c>
      <c r="I40" s="208"/>
      <c r="J40" s="208" t="s">
        <v>41</v>
      </c>
      <c r="K40" s="208"/>
      <c r="L40" s="208" t="str">
        <f>HLOOKUP(Language!$C$3,Language!$E$1:$Z512,15,FALSE)</f>
        <v>Four slots for SFP transceivers</v>
      </c>
      <c r="M40" s="208" t="s">
        <v>27</v>
      </c>
      <c r="N40" s="208"/>
      <c r="O40" s="208" t="s">
        <v>41</v>
      </c>
      <c r="P40" s="208" t="str">
        <f>HLOOKUP(Language!$C$3,Language!$E$1:$Z512,15,FALSE)</f>
        <v>Four slots for SFP transceivers</v>
      </c>
      <c r="Q40" s="208" t="s">
        <v>27</v>
      </c>
      <c r="R40" s="208"/>
      <c r="S40" s="208" t="s">
        <v>41</v>
      </c>
      <c r="T40" s="208" t="str">
        <f>HLOOKUP(Language!$C$3,Language!$E$1:$Z512,15,FALSE)</f>
        <v>Four slots for SFP transceivers</v>
      </c>
      <c r="U40" s="208" t="s">
        <v>27</v>
      </c>
      <c r="V40" s="208"/>
      <c r="W40" s="208" t="s">
        <v>41</v>
      </c>
      <c r="X40" s="208" t="str">
        <f>HLOOKUP(Language!$C$3,Language!$E$1:$Z512,15,FALSE)</f>
        <v>Four slots for SFP transceivers</v>
      </c>
      <c r="Y40" s="208" t="s">
        <v>27</v>
      </c>
      <c r="Z40" s="208"/>
      <c r="AA40" s="208" t="s">
        <v>41</v>
      </c>
      <c r="AB40" s="208" t="str">
        <f>HLOOKUP(Language!$C$3,Language!$E$1:$Z512,15,FALSE)</f>
        <v>Four slots for SFP transceivers</v>
      </c>
      <c r="AC40" s="208" t="s">
        <v>27</v>
      </c>
      <c r="AD40" s="208"/>
      <c r="AE40" s="208" t="s">
        <v>41</v>
      </c>
    </row>
    <row r="41" spans="1:31">
      <c r="A41" s="209"/>
      <c r="B41" s="17"/>
      <c r="C41" s="210" t="str">
        <f>HLOOKUP(Language!$C$3,Language!$E$1:$Z513,20,FALSE)</f>
        <v>Four 100 Mbps LC-type connector multi mode fiber 100BASE-FX Ethernet for up to 2 km</v>
      </c>
      <c r="D41" s="210" t="s">
        <v>44</v>
      </c>
      <c r="E41" s="210"/>
      <c r="F41" s="210" t="s">
        <v>41</v>
      </c>
      <c r="G41" s="210" t="str">
        <f>HLOOKUP(Language!$C$3,Language!$E$1:$Z513,20,FALSE)</f>
        <v>Four 100 Mbps LC-type connector multi mode fiber 100BASE-FX Ethernet for up to 2 km</v>
      </c>
      <c r="H41" s="210" t="s">
        <v>44</v>
      </c>
      <c r="I41" s="210"/>
      <c r="J41" s="210" t="s">
        <v>41</v>
      </c>
      <c r="K41" s="210"/>
      <c r="L41" s="210" t="str">
        <f>HLOOKUP(Language!$C$3,Language!$E$1:$Z513,20,FALSE)</f>
        <v>Four 100 Mbps LC-type connector multi mode fiber 100BASE-FX Ethernet for up to 2 km</v>
      </c>
      <c r="M41" s="210" t="s">
        <v>44</v>
      </c>
      <c r="N41" s="210"/>
      <c r="O41" s="210" t="s">
        <v>41</v>
      </c>
      <c r="P41" s="210" t="str">
        <f>HLOOKUP(Language!$C$3,Language!$E$1:$Z513,20,FALSE)</f>
        <v>Four 100 Mbps LC-type connector multi mode fiber 100BASE-FX Ethernet for up to 2 km</v>
      </c>
      <c r="Q41" s="210" t="s">
        <v>44</v>
      </c>
      <c r="R41" s="210"/>
      <c r="S41" s="210" t="s">
        <v>41</v>
      </c>
      <c r="T41" s="210" t="str">
        <f>HLOOKUP(Language!$C$3,Language!$E$1:$Z513,20,FALSE)</f>
        <v>Four 100 Mbps LC-type connector multi mode fiber 100BASE-FX Ethernet for up to 2 km</v>
      </c>
      <c r="U41" s="210" t="s">
        <v>44</v>
      </c>
      <c r="V41" s="210"/>
      <c r="W41" s="210" t="s">
        <v>41</v>
      </c>
      <c r="X41" s="210" t="str">
        <f>HLOOKUP(Language!$C$3,Language!$E$1:$Z513,20,FALSE)</f>
        <v>Four 100 Mbps LC-type connector multi mode fiber 100BASE-FX Ethernet for up to 2 km</v>
      </c>
      <c r="Y41" s="210" t="s">
        <v>44</v>
      </c>
      <c r="Z41" s="210"/>
      <c r="AA41" s="210" t="s">
        <v>41</v>
      </c>
      <c r="AB41" s="210" t="str">
        <f>HLOOKUP(Language!$C$3,Language!$E$1:$Z513,20,FALSE)</f>
        <v>Four 100 Mbps LC-type connector multi mode fiber 100BASE-FX Ethernet for up to 2 km</v>
      </c>
      <c r="AC41" s="210" t="s">
        <v>44</v>
      </c>
      <c r="AD41" s="210"/>
      <c r="AE41" s="210" t="s">
        <v>41</v>
      </c>
    </row>
    <row r="42" spans="1:31">
      <c r="A42" s="209"/>
      <c r="B42" s="17"/>
      <c r="C42" s="210" t="str">
        <f>HLOOKUP(Language!$C$3,Language!$E$1:$Z514,21,FALSE)</f>
        <v>Four RJ45 copper 10/100BASE-TX</v>
      </c>
      <c r="D42" s="210" t="s">
        <v>115</v>
      </c>
      <c r="E42" s="210"/>
      <c r="F42" s="210" t="s">
        <v>41</v>
      </c>
      <c r="G42" s="210" t="str">
        <f>HLOOKUP(Language!$C$3,Language!$E$1:$Z514,21,FALSE)</f>
        <v>Four RJ45 copper 10/100BASE-TX</v>
      </c>
      <c r="H42" s="210" t="s">
        <v>115</v>
      </c>
      <c r="I42" s="210"/>
      <c r="J42" s="210" t="s">
        <v>41</v>
      </c>
      <c r="K42" s="210"/>
      <c r="L42" s="210" t="str">
        <f>HLOOKUP(Language!$C$3,Language!$E$1:$Z514,21,FALSE)</f>
        <v>Four RJ45 copper 10/100BASE-TX</v>
      </c>
      <c r="M42" s="210" t="s">
        <v>115</v>
      </c>
      <c r="N42" s="210"/>
      <c r="O42" s="210" t="s">
        <v>41</v>
      </c>
      <c r="P42" s="210" t="str">
        <f>HLOOKUP(Language!$C$3,Language!$E$1:$Z514,21,FALSE)</f>
        <v>Four RJ45 copper 10/100BASE-TX</v>
      </c>
      <c r="Q42" s="210" t="s">
        <v>115</v>
      </c>
      <c r="R42" s="210"/>
      <c r="S42" s="210" t="s">
        <v>41</v>
      </c>
      <c r="T42" s="210" t="str">
        <f>HLOOKUP(Language!$C$3,Language!$E$1:$Z514,21,FALSE)</f>
        <v>Four RJ45 copper 10/100BASE-TX</v>
      </c>
      <c r="U42" s="210" t="s">
        <v>115</v>
      </c>
      <c r="V42" s="210"/>
      <c r="W42" s="210" t="s">
        <v>41</v>
      </c>
      <c r="X42" s="210" t="str">
        <f>HLOOKUP(Language!$C$3,Language!$E$1:$Z514,21,FALSE)</f>
        <v>Four RJ45 copper 10/100BASE-TX</v>
      </c>
      <c r="Y42" s="210" t="s">
        <v>115</v>
      </c>
      <c r="Z42" s="210"/>
      <c r="AA42" s="210" t="s">
        <v>41</v>
      </c>
      <c r="AB42" s="210" t="str">
        <f>HLOOKUP(Language!$C$3,Language!$E$1:$Z514,21,FALSE)</f>
        <v>Four RJ45 copper 10/100BASE-TX</v>
      </c>
      <c r="AC42" s="210" t="s">
        <v>115</v>
      </c>
      <c r="AD42" s="210"/>
      <c r="AE42" s="210" t="s">
        <v>41</v>
      </c>
    </row>
    <row r="43" spans="1:31">
      <c r="A43" s="209"/>
      <c r="B43" s="17"/>
      <c r="C43" s="210" t="str">
        <f>HLOOKUP(Language!$C$3,Language!$E$1:$Z498,22,FALSE)</f>
        <v>Not installed</v>
      </c>
      <c r="D43" s="210" t="s">
        <v>28</v>
      </c>
      <c r="E43" s="210"/>
      <c r="F43" s="210" t="s">
        <v>41</v>
      </c>
      <c r="G43" s="210" t="str">
        <f>HLOOKUP(Language!$C$3,Language!$E$1:$Z498,22,FALSE)</f>
        <v>Not installed</v>
      </c>
      <c r="H43" s="210" t="s">
        <v>28</v>
      </c>
      <c r="I43" s="210"/>
      <c r="J43" s="210" t="s">
        <v>41</v>
      </c>
      <c r="K43" s="210"/>
      <c r="L43" s="210" t="str">
        <f>HLOOKUP(Language!$C$3,Language!$E$1:$Z498,22,FALSE)</f>
        <v>Not installed</v>
      </c>
      <c r="M43" s="210" t="s">
        <v>28</v>
      </c>
      <c r="N43" s="210"/>
      <c r="O43" s="210" t="s">
        <v>41</v>
      </c>
      <c r="P43" s="210" t="str">
        <f>HLOOKUP(Language!$C$3,Language!$E$1:$Z498,22,FALSE)</f>
        <v>Not installed</v>
      </c>
      <c r="Q43" s="210" t="s">
        <v>28</v>
      </c>
      <c r="R43" s="210"/>
      <c r="S43" s="210" t="s">
        <v>41</v>
      </c>
      <c r="T43" s="210" t="str">
        <f>HLOOKUP(Language!$C$3,Language!$E$1:$Z498,22,FALSE)</f>
        <v>Not installed</v>
      </c>
      <c r="U43" s="210" t="s">
        <v>28</v>
      </c>
      <c r="V43" s="210"/>
      <c r="W43" s="210" t="s">
        <v>41</v>
      </c>
      <c r="X43" s="210" t="str">
        <f>HLOOKUP(Language!$C$3,Language!$E$1:$Z498,22,FALSE)</f>
        <v>Not installed</v>
      </c>
      <c r="Y43" s="210" t="s">
        <v>28</v>
      </c>
      <c r="Z43" s="210"/>
      <c r="AA43" s="210" t="s">
        <v>41</v>
      </c>
      <c r="AB43" s="210" t="str">
        <f>HLOOKUP(Language!$C$3,Language!$E$1:$Z498,22,FALSE)</f>
        <v>Not installed</v>
      </c>
      <c r="AC43" s="210" t="s">
        <v>28</v>
      </c>
      <c r="AD43" s="210"/>
      <c r="AE43" s="210" t="s">
        <v>41</v>
      </c>
    </row>
    <row r="44" spans="1:31">
      <c r="A44" s="211"/>
      <c r="B44" s="27"/>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row>
    <row r="45" spans="1:31">
      <c r="A45" s="207">
        <v>8</v>
      </c>
      <c r="B45" s="16" t="str">
        <f>HLOOKUP(Language!$C$3,Language!$E$1:$Z530,13,FALSE)</f>
        <v>Interface Module 5</v>
      </c>
      <c r="C45" s="208" t="str">
        <f>HLOOKUP(Language!$C$3,Language!$E$1:$Z517,15,FALSE)</f>
        <v>Four slots for SFP transceivers</v>
      </c>
      <c r="D45" s="208" t="s">
        <v>27</v>
      </c>
      <c r="E45" s="208"/>
      <c r="F45" s="208" t="s">
        <v>101</v>
      </c>
      <c r="G45" s="208" t="str">
        <f>HLOOKUP(Language!$C$3,Language!$E$1:$Z517,15,FALSE)</f>
        <v>Four slots for SFP transceivers</v>
      </c>
      <c r="H45" s="208" t="s">
        <v>27</v>
      </c>
      <c r="I45" s="208"/>
      <c r="J45" s="208" t="s">
        <v>41</v>
      </c>
      <c r="K45" s="208"/>
      <c r="L45" s="208" t="str">
        <f>HLOOKUP(Language!$C$3,Language!$E$1:$Z517,15,FALSE)</f>
        <v>Four slots for SFP transceivers</v>
      </c>
      <c r="M45" s="208" t="s">
        <v>27</v>
      </c>
      <c r="N45" s="208"/>
      <c r="O45" s="208" t="s">
        <v>41</v>
      </c>
      <c r="P45" s="208" t="str">
        <f>HLOOKUP(Language!$C$3,Language!$E$1:$Z517,15,FALSE)</f>
        <v>Four slots for SFP transceivers</v>
      </c>
      <c r="Q45" s="208" t="s">
        <v>27</v>
      </c>
      <c r="R45" s="208"/>
      <c r="S45" s="208" t="s">
        <v>41</v>
      </c>
      <c r="T45" s="208" t="str">
        <f>HLOOKUP(Language!$C$3,Language!$E$1:$Z517,15,FALSE)</f>
        <v>Four slots for SFP transceivers</v>
      </c>
      <c r="U45" s="208" t="s">
        <v>27</v>
      </c>
      <c r="V45" s="208"/>
      <c r="W45" s="208" t="s">
        <v>41</v>
      </c>
      <c r="X45" s="208" t="str">
        <f>HLOOKUP(Language!$C$3,Language!$E$1:$Z517,15,FALSE)</f>
        <v>Four slots for SFP transceivers</v>
      </c>
      <c r="Y45" s="208" t="s">
        <v>27</v>
      </c>
      <c r="Z45" s="208"/>
      <c r="AA45" s="208" t="s">
        <v>41</v>
      </c>
      <c r="AB45" s="208" t="str">
        <f>HLOOKUP(Language!$C$3,Language!$E$1:$Z517,15,FALSE)</f>
        <v>Four slots for SFP transceivers</v>
      </c>
      <c r="AC45" s="208" t="s">
        <v>27</v>
      </c>
      <c r="AD45" s="208"/>
      <c r="AE45" s="208" t="s">
        <v>41</v>
      </c>
    </row>
    <row r="46" spans="1:31">
      <c r="A46" s="209"/>
      <c r="B46" s="17"/>
      <c r="C46" s="210" t="str">
        <f>HLOOKUP(Language!$C$3,Language!$E$1:$Z518,20,FALSE)</f>
        <v>Four 100 Mbps LC-type connector multi mode fiber 100BASE-FX Ethernet for up to 2 km</v>
      </c>
      <c r="D46" s="210" t="s">
        <v>44</v>
      </c>
      <c r="E46" s="210"/>
      <c r="F46" s="210" t="s">
        <v>101</v>
      </c>
      <c r="G46" s="210" t="str">
        <f>HLOOKUP(Language!$C$3,Language!$E$1:$Z518,20,FALSE)</f>
        <v>Four 100 Mbps LC-type connector multi mode fiber 100BASE-FX Ethernet for up to 2 km</v>
      </c>
      <c r="H46" s="210" t="s">
        <v>44</v>
      </c>
      <c r="I46" s="210"/>
      <c r="J46" s="210" t="s">
        <v>41</v>
      </c>
      <c r="K46" s="210"/>
      <c r="L46" s="210" t="str">
        <f>HLOOKUP(Language!$C$3,Language!$E$1:$Z518,20,FALSE)</f>
        <v>Four 100 Mbps LC-type connector multi mode fiber 100BASE-FX Ethernet for up to 2 km</v>
      </c>
      <c r="M46" s="210" t="s">
        <v>44</v>
      </c>
      <c r="N46" s="210"/>
      <c r="O46" s="210" t="s">
        <v>41</v>
      </c>
      <c r="P46" s="210" t="str">
        <f>HLOOKUP(Language!$C$3,Language!$E$1:$Z518,20,FALSE)</f>
        <v>Four 100 Mbps LC-type connector multi mode fiber 100BASE-FX Ethernet for up to 2 km</v>
      </c>
      <c r="Q46" s="210" t="s">
        <v>44</v>
      </c>
      <c r="R46" s="210"/>
      <c r="S46" s="210" t="s">
        <v>41</v>
      </c>
      <c r="T46" s="210" t="str">
        <f>HLOOKUP(Language!$C$3,Language!$E$1:$Z518,20,FALSE)</f>
        <v>Four 100 Mbps LC-type connector multi mode fiber 100BASE-FX Ethernet for up to 2 km</v>
      </c>
      <c r="U46" s="210" t="s">
        <v>44</v>
      </c>
      <c r="V46" s="210"/>
      <c r="W46" s="210" t="s">
        <v>41</v>
      </c>
      <c r="X46" s="210" t="str">
        <f>HLOOKUP(Language!$C$3,Language!$E$1:$Z518,20,FALSE)</f>
        <v>Four 100 Mbps LC-type connector multi mode fiber 100BASE-FX Ethernet for up to 2 km</v>
      </c>
      <c r="Y46" s="210" t="s">
        <v>44</v>
      </c>
      <c r="Z46" s="210"/>
      <c r="AA46" s="210" t="s">
        <v>41</v>
      </c>
      <c r="AB46" s="210" t="str">
        <f>HLOOKUP(Language!$C$3,Language!$E$1:$Z518,20,FALSE)</f>
        <v>Four 100 Mbps LC-type connector multi mode fiber 100BASE-FX Ethernet for up to 2 km</v>
      </c>
      <c r="AC46" s="210" t="s">
        <v>44</v>
      </c>
      <c r="AD46" s="210"/>
      <c r="AE46" s="210" t="s">
        <v>41</v>
      </c>
    </row>
    <row r="47" spans="1:31">
      <c r="A47" s="209"/>
      <c r="B47" s="17"/>
      <c r="C47" s="210" t="str">
        <f>HLOOKUP(Language!$C$3,Language!$E$1:$Z519,21,FALSE)</f>
        <v>Four RJ45 copper 10/100BASE-TX</v>
      </c>
      <c r="D47" s="210" t="s">
        <v>115</v>
      </c>
      <c r="E47" s="210"/>
      <c r="F47" s="210" t="s">
        <v>41</v>
      </c>
      <c r="G47" s="210" t="str">
        <f>HLOOKUP(Language!$C$3,Language!$E$1:$Z519,21,FALSE)</f>
        <v>Four RJ45 copper 10/100BASE-TX</v>
      </c>
      <c r="H47" s="210" t="s">
        <v>115</v>
      </c>
      <c r="I47" s="210"/>
      <c r="J47" s="210" t="s">
        <v>41</v>
      </c>
      <c r="K47" s="210"/>
      <c r="L47" s="210" t="str">
        <f>HLOOKUP(Language!$C$3,Language!$E$1:$Z519,21,FALSE)</f>
        <v>Four RJ45 copper 10/100BASE-TX</v>
      </c>
      <c r="M47" s="210" t="s">
        <v>115</v>
      </c>
      <c r="N47" s="210"/>
      <c r="O47" s="210" t="s">
        <v>41</v>
      </c>
      <c r="P47" s="210" t="str">
        <f>HLOOKUP(Language!$C$3,Language!$E$1:$Z519,21,FALSE)</f>
        <v>Four RJ45 copper 10/100BASE-TX</v>
      </c>
      <c r="Q47" s="210" t="s">
        <v>115</v>
      </c>
      <c r="R47" s="210"/>
      <c r="S47" s="210" t="s">
        <v>41</v>
      </c>
      <c r="T47" s="210" t="str">
        <f>HLOOKUP(Language!$C$3,Language!$E$1:$Z519,21,FALSE)</f>
        <v>Four RJ45 copper 10/100BASE-TX</v>
      </c>
      <c r="U47" s="210" t="s">
        <v>115</v>
      </c>
      <c r="V47" s="210"/>
      <c r="W47" s="210" t="s">
        <v>41</v>
      </c>
      <c r="X47" s="210" t="str">
        <f>HLOOKUP(Language!$C$3,Language!$E$1:$Z519,21,FALSE)</f>
        <v>Four RJ45 copper 10/100BASE-TX</v>
      </c>
      <c r="Y47" s="210" t="s">
        <v>115</v>
      </c>
      <c r="Z47" s="210"/>
      <c r="AA47" s="210" t="s">
        <v>41</v>
      </c>
      <c r="AB47" s="210" t="str">
        <f>HLOOKUP(Language!$C$3,Language!$E$1:$Z519,21,FALSE)</f>
        <v>Four RJ45 copper 10/100BASE-TX</v>
      </c>
      <c r="AC47" s="210" t="s">
        <v>115</v>
      </c>
      <c r="AD47" s="210"/>
      <c r="AE47" s="210" t="s">
        <v>41</v>
      </c>
    </row>
    <row r="48" spans="1:31">
      <c r="A48" s="209"/>
      <c r="B48" s="17"/>
      <c r="C48" s="210" t="str">
        <f>HLOOKUP(Language!$C$3,Language!$E$1:$Z503,22,FALSE)</f>
        <v>Not installed</v>
      </c>
      <c r="D48" s="210" t="s">
        <v>28</v>
      </c>
      <c r="E48" s="210"/>
      <c r="F48" s="210" t="s">
        <v>41</v>
      </c>
      <c r="G48" s="210" t="str">
        <f>HLOOKUP(Language!$C$3,Language!$E$1:$Z503,22,FALSE)</f>
        <v>Not installed</v>
      </c>
      <c r="H48" s="210" t="s">
        <v>28</v>
      </c>
      <c r="I48" s="210"/>
      <c r="J48" s="210" t="s">
        <v>41</v>
      </c>
      <c r="K48" s="210"/>
      <c r="L48" s="210" t="str">
        <f>HLOOKUP(Language!$C$3,Language!$E$1:$Z503,22,FALSE)</f>
        <v>Not installed</v>
      </c>
      <c r="M48" s="210" t="s">
        <v>28</v>
      </c>
      <c r="N48" s="210"/>
      <c r="O48" s="210" t="s">
        <v>41</v>
      </c>
      <c r="P48" s="210" t="str">
        <f>HLOOKUP(Language!$C$3,Language!$E$1:$Z503,22,FALSE)</f>
        <v>Not installed</v>
      </c>
      <c r="Q48" s="210" t="s">
        <v>28</v>
      </c>
      <c r="R48" s="210"/>
      <c r="S48" s="210" t="s">
        <v>41</v>
      </c>
      <c r="T48" s="210" t="str">
        <f>HLOOKUP(Language!$C$3,Language!$E$1:$Z503,22,FALSE)</f>
        <v>Not installed</v>
      </c>
      <c r="U48" s="210" t="s">
        <v>28</v>
      </c>
      <c r="V48" s="210"/>
      <c r="W48" s="210" t="s">
        <v>41</v>
      </c>
      <c r="X48" s="210" t="str">
        <f>HLOOKUP(Language!$C$3,Language!$E$1:$Z503,22,FALSE)</f>
        <v>Not installed</v>
      </c>
      <c r="Y48" s="210" t="s">
        <v>28</v>
      </c>
      <c r="Z48" s="210"/>
      <c r="AA48" s="210" t="s">
        <v>41</v>
      </c>
      <c r="AB48" s="210" t="str">
        <f>HLOOKUP(Language!$C$3,Language!$E$1:$Z503,22,FALSE)</f>
        <v>Not installed</v>
      </c>
      <c r="AC48" s="210" t="s">
        <v>28</v>
      </c>
      <c r="AD48" s="210"/>
      <c r="AE48" s="210" t="s">
        <v>41</v>
      </c>
    </row>
    <row r="49" spans="1:31">
      <c r="A49" s="211"/>
      <c r="B49" s="27"/>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row>
    <row r="50" spans="1:31">
      <c r="A50" s="207">
        <v>9</v>
      </c>
      <c r="B50" s="16" t="str">
        <f>HLOOKUP(Language!$C$3,Language!$E$1:$Z553,26,FALSE)</f>
        <v>Firmware Version</v>
      </c>
      <c r="C50" s="208" t="str">
        <f>HLOOKUP(Language!$C$3,Language!$E$1:$Z555,27,FALSE)</f>
        <v>Latest available firmware</v>
      </c>
      <c r="D50" s="208" t="s">
        <v>31</v>
      </c>
      <c r="E50" s="208"/>
      <c r="F50" s="208" t="s">
        <v>41</v>
      </c>
      <c r="G50" s="208" t="str">
        <f>HLOOKUP(Language!$C$3,Language!$E$1:$Z555,27,FALSE)</f>
        <v>Latest available firmware</v>
      </c>
      <c r="H50" s="241" t="s">
        <v>120</v>
      </c>
      <c r="I50" s="208"/>
      <c r="J50" s="208" t="s">
        <v>41</v>
      </c>
      <c r="K50" s="208"/>
      <c r="L50" s="208" t="str">
        <f>HLOOKUP(Language!$C$3,Language!$E$1:$Z555,27,FALSE)</f>
        <v>Latest available firmware</v>
      </c>
      <c r="M50" s="241" t="s">
        <v>120</v>
      </c>
      <c r="N50" s="208"/>
      <c r="O50" s="208" t="s">
        <v>41</v>
      </c>
      <c r="P50" s="208" t="str">
        <f>CONCATENATE(HLOOKUP(Language!$C$3,Language!$E$1:$Z518,27,FALSE)," - 05")</f>
        <v>Latest available firmware - 05</v>
      </c>
      <c r="Q50" s="241" t="s">
        <v>137</v>
      </c>
      <c r="R50" s="208"/>
      <c r="S50" s="208" t="s">
        <v>41</v>
      </c>
      <c r="T50" s="208" t="str">
        <f>CONCATENATE(HLOOKUP(Language!$C$3,Language!$E$1:$Z518,27,FALSE)," - 05")</f>
        <v>Latest available firmware - 05</v>
      </c>
      <c r="U50" s="241" t="s">
        <v>137</v>
      </c>
      <c r="V50" s="208"/>
      <c r="W50" s="208" t="s">
        <v>41</v>
      </c>
      <c r="X50" s="208" t="str">
        <f>CONCATENATE(HLOOKUP(Language!$C$3,Language!$E$1:$Z518,27,FALSE)," - 06")</f>
        <v>Latest available firmware - 06</v>
      </c>
      <c r="Y50" s="241" t="s">
        <v>171</v>
      </c>
      <c r="Z50" s="208"/>
      <c r="AA50" s="208" t="s">
        <v>41</v>
      </c>
      <c r="AB50" s="208" t="str">
        <f>CONCATENATE(HLOOKUP(Language!$C$3,Language!$E$1:$Z518,27,FALSE)," - 06")</f>
        <v>Latest available firmware - 06</v>
      </c>
      <c r="AC50" s="241" t="s">
        <v>171</v>
      </c>
      <c r="AD50" s="208"/>
      <c r="AE50" s="208" t="s">
        <v>41</v>
      </c>
    </row>
    <row r="51" spans="1:31">
      <c r="A51" s="211"/>
      <c r="B51" s="27"/>
      <c r="C51" s="212"/>
      <c r="D51" s="212"/>
      <c r="E51" s="212"/>
      <c r="F51" s="212"/>
      <c r="G51" s="212"/>
      <c r="H51" s="210"/>
      <c r="I51" s="212"/>
      <c r="J51" s="212"/>
      <c r="K51" s="212"/>
      <c r="L51" s="212"/>
      <c r="M51" s="210"/>
      <c r="N51" s="212"/>
      <c r="O51" s="212"/>
      <c r="P51" s="212" t="str">
        <f>CONCATENATE(HLOOKUP(Language!$C$3,Language!$E$1:$Z519,54,FALSE)," - 04")</f>
        <v>Firmware version number - 04</v>
      </c>
      <c r="Q51" s="246" t="s">
        <v>120</v>
      </c>
      <c r="R51" s="212"/>
      <c r="S51" s="212" t="s">
        <v>41</v>
      </c>
      <c r="T51" s="212"/>
      <c r="U51" s="246"/>
      <c r="V51" s="212"/>
      <c r="W51" s="212" t="s">
        <v>101</v>
      </c>
      <c r="X51" s="212" t="str">
        <f>CONCATENATE(HLOOKUP(Language!$C$3,Language!$E$1:$Z518,54,FALSE)," - 05")</f>
        <v>Firmware version number - 05</v>
      </c>
      <c r="Y51" s="254" t="s">
        <v>137</v>
      </c>
      <c r="Z51" s="212"/>
      <c r="AA51" s="212" t="s">
        <v>41</v>
      </c>
      <c r="AB51" s="212" t="str">
        <f>CONCATENATE(HLOOKUP(Language!$C$3,Language!$E$1:$Z518,54,FALSE)," - 05")</f>
        <v>Firmware version number - 05</v>
      </c>
      <c r="AC51" s="254" t="s">
        <v>137</v>
      </c>
      <c r="AD51" s="212"/>
      <c r="AE51" s="212" t="s">
        <v>41</v>
      </c>
    </row>
    <row r="52" spans="1:31">
      <c r="A52" s="207">
        <v>10</v>
      </c>
      <c r="B52" s="16" t="str">
        <f>HLOOKUP(Language!$C$3,Language!$E$1:$Z555,28,FALSE)</f>
        <v>Hardware Design Suffix</v>
      </c>
      <c r="C52" s="208" t="str">
        <f>HLOOKUP(Language!$C$3,Language!$E$1:$Z557,29,FALSE)</f>
        <v>Standard hardware release</v>
      </c>
      <c r="D52" s="208" t="s">
        <v>26</v>
      </c>
      <c r="E52" s="208"/>
      <c r="F52" s="208" t="s">
        <v>41</v>
      </c>
      <c r="G52" s="208" t="str">
        <f>HLOOKUP(Language!$C$3,Language!$E$1:$Z557,29,FALSE)</f>
        <v>Standard hardware release</v>
      </c>
      <c r="H52" s="208" t="s">
        <v>26</v>
      </c>
      <c r="I52" s="208"/>
      <c r="J52" s="208" t="s">
        <v>41</v>
      </c>
      <c r="K52" s="208"/>
      <c r="L52" s="208" t="str">
        <f>HLOOKUP(Language!$C$3,Language!$E$1:$Z557,29,FALSE)</f>
        <v>Standard hardware release</v>
      </c>
      <c r="M52" s="208" t="s">
        <v>27</v>
      </c>
      <c r="N52" s="208"/>
      <c r="O52" s="208" t="s">
        <v>41</v>
      </c>
      <c r="P52" s="208" t="str">
        <f>HLOOKUP(Language!$C$3,Language!$E$1:$Z557,29,FALSE)</f>
        <v>Standard hardware release</v>
      </c>
      <c r="Q52" s="208" t="s">
        <v>27</v>
      </c>
      <c r="R52" s="208"/>
      <c r="S52" s="208" t="s">
        <v>41</v>
      </c>
      <c r="T52" s="208" t="str">
        <f>HLOOKUP(Language!$C$3,Language!$E$1:$Z557,29,FALSE)</f>
        <v>Standard hardware release</v>
      </c>
      <c r="U52" s="208" t="s">
        <v>27</v>
      </c>
      <c r="V52" s="208"/>
      <c r="W52" s="208" t="s">
        <v>41</v>
      </c>
      <c r="X52" s="208" t="str">
        <f>HLOOKUP(Language!$C$3,Language!$E$1:$Z557,29,FALSE)</f>
        <v>Standard hardware release</v>
      </c>
      <c r="Y52" s="208" t="s">
        <v>27</v>
      </c>
      <c r="Z52" s="208"/>
      <c r="AA52" s="208" t="s">
        <v>41</v>
      </c>
      <c r="AB52" s="208" t="str">
        <f>HLOOKUP(Language!$C$3,Language!$E$1:$Z557,29,FALSE)</f>
        <v>Standard hardware release</v>
      </c>
      <c r="AC52" s="208" t="s">
        <v>27</v>
      </c>
      <c r="AD52" s="208"/>
      <c r="AE52" s="208" t="s">
        <v>41</v>
      </c>
    </row>
    <row r="53" spans="1:31">
      <c r="A53" s="209"/>
      <c r="B53" s="24"/>
      <c r="C53" s="210" t="str">
        <f>HLOOKUP(Language!$C$3,Language!$E$1:$Z508,42,FALSE)</f>
        <v>Alternate hardware release</v>
      </c>
      <c r="D53" s="210" t="s">
        <v>85</v>
      </c>
      <c r="E53" s="210"/>
      <c r="F53" s="210" t="s">
        <v>41</v>
      </c>
      <c r="G53" s="210" t="str">
        <f>HLOOKUP(Language!$C$3,Language!$E$1:$Z508,42,FALSE)</f>
        <v>Alternate hardware release</v>
      </c>
      <c r="H53" s="210" t="s">
        <v>85</v>
      </c>
      <c r="I53" s="210"/>
      <c r="J53" s="210" t="s">
        <v>41</v>
      </c>
      <c r="K53" s="210"/>
      <c r="L53" s="210" t="str">
        <f>HLOOKUP(Language!$C$3,Language!$E$1:$Z508,42,FALSE)</f>
        <v>Alternate hardware release</v>
      </c>
      <c r="M53" s="210" t="s">
        <v>130</v>
      </c>
      <c r="N53" s="210"/>
      <c r="O53" s="210" t="s">
        <v>41</v>
      </c>
      <c r="P53" s="210" t="str">
        <f>HLOOKUP(Language!$C$3,Language!$E$1:$Z508,42,FALSE)</f>
        <v>Alternate hardware release</v>
      </c>
      <c r="Q53" s="210" t="s">
        <v>130</v>
      </c>
      <c r="R53" s="210"/>
      <c r="S53" s="210" t="s">
        <v>41</v>
      </c>
      <c r="T53" s="210" t="str">
        <f>HLOOKUP(Language!$C$3,Language!$E$1:$Z508,42,FALSE)</f>
        <v>Alternate hardware release</v>
      </c>
      <c r="U53" s="210" t="s">
        <v>130</v>
      </c>
      <c r="V53" s="210"/>
      <c r="W53" s="210" t="s">
        <v>41</v>
      </c>
      <c r="X53" s="210" t="str">
        <f>HLOOKUP(Language!$C$3,Language!$E$1:$Z508,42,FALSE)</f>
        <v>Alternate hardware release</v>
      </c>
      <c r="Y53" s="210" t="s">
        <v>130</v>
      </c>
      <c r="Z53" s="210"/>
      <c r="AA53" s="210" t="s">
        <v>41</v>
      </c>
      <c r="AB53" s="210" t="str">
        <f>HLOOKUP(Language!$C$3,Language!$E$1:$Z508,68,FALSE)</f>
        <v>Alternate hardware release (Withdraw)</v>
      </c>
      <c r="AC53" s="210" t="s">
        <v>130</v>
      </c>
      <c r="AD53" s="210"/>
      <c r="AE53" s="210" t="s">
        <v>41</v>
      </c>
    </row>
    <row r="54" spans="1:31">
      <c r="A54" s="211"/>
      <c r="B54" s="18"/>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row>
  </sheetData>
  <pageMargins left="0.511811024" right="0.511811024" top="0.78740157499999996" bottom="0.78740157499999996" header="0.31496062000000002" footer="0.31496062000000002"/>
  <pageSetup orientation="portrait" r:id="rId1"/>
  <ignoredErrors>
    <ignoredError sqref="D5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7"/>
  <dimension ref="A1:G77"/>
  <sheetViews>
    <sheetView topLeftCell="D58" zoomScale="115" zoomScaleNormal="115" workbookViewId="0">
      <selection activeCell="E75" sqref="E75:F77"/>
    </sheetView>
  </sheetViews>
  <sheetFormatPr defaultRowHeight="12"/>
  <cols>
    <col min="1" max="1" width="2.42578125" style="1" customWidth="1"/>
    <col min="2" max="2" width="28.85546875" style="2" customWidth="1"/>
    <col min="3" max="3" width="3.140625" style="3" customWidth="1"/>
    <col min="4" max="4" width="3.140625" style="2" customWidth="1"/>
    <col min="5" max="5" width="76.42578125" style="4" customWidth="1"/>
    <col min="6" max="6" width="78.140625" style="4" customWidth="1"/>
    <col min="7" max="16384" width="9.140625" style="2"/>
  </cols>
  <sheetData>
    <row r="1" spans="1:6">
      <c r="B1" s="2" t="s">
        <v>0</v>
      </c>
      <c r="E1" s="4" t="s">
        <v>1</v>
      </c>
      <c r="F1" s="4" t="s">
        <v>2</v>
      </c>
    </row>
    <row r="2" spans="1:6">
      <c r="E2" s="4" t="s">
        <v>3</v>
      </c>
      <c r="F2" s="4" t="s">
        <v>4</v>
      </c>
    </row>
    <row r="3" spans="1:6">
      <c r="A3" s="5">
        <v>1</v>
      </c>
      <c r="B3" s="6" t="str">
        <f>VLOOKUP(A3,A4:C6,2,FALSE)</f>
        <v>English</v>
      </c>
      <c r="C3" s="7" t="str">
        <f>VLOOKUP(A3,A4:C6,3,FALSE)</f>
        <v>En</v>
      </c>
      <c r="D3" s="8"/>
      <c r="E3" s="4" t="s">
        <v>92</v>
      </c>
      <c r="F3" s="4" t="s">
        <v>93</v>
      </c>
    </row>
    <row r="4" spans="1:6">
      <c r="A4" s="9">
        <v>1</v>
      </c>
      <c r="B4" s="8" t="s">
        <v>5</v>
      </c>
      <c r="C4" s="10" t="s">
        <v>1</v>
      </c>
      <c r="D4" s="8"/>
      <c r="E4" s="4" t="s">
        <v>77</v>
      </c>
      <c r="F4" s="4" t="s">
        <v>77</v>
      </c>
    </row>
    <row r="5" spans="1:6">
      <c r="A5" s="9">
        <v>2</v>
      </c>
      <c r="B5" s="8" t="s">
        <v>6</v>
      </c>
      <c r="C5" s="10" t="s">
        <v>2</v>
      </c>
      <c r="D5" s="8"/>
      <c r="E5" s="4" t="s">
        <v>46</v>
      </c>
      <c r="F5" s="4" t="s">
        <v>47</v>
      </c>
    </row>
    <row r="6" spans="1:6">
      <c r="A6" s="11"/>
      <c r="B6" s="12"/>
      <c r="C6" s="13"/>
      <c r="D6" s="8"/>
      <c r="E6" s="4" t="s">
        <v>48</v>
      </c>
      <c r="F6" s="4" t="s">
        <v>49</v>
      </c>
    </row>
    <row r="7" spans="1:6">
      <c r="E7" s="4" t="s">
        <v>100</v>
      </c>
      <c r="F7" s="4" t="s">
        <v>100</v>
      </c>
    </row>
    <row r="8" spans="1:6">
      <c r="E8" s="4" t="s">
        <v>7</v>
      </c>
      <c r="F8" s="4" t="s">
        <v>8</v>
      </c>
    </row>
    <row r="9" spans="1:6">
      <c r="E9" s="4" t="s">
        <v>50</v>
      </c>
      <c r="F9" s="4" t="s">
        <v>51</v>
      </c>
    </row>
    <row r="10" spans="1:6">
      <c r="E10" s="4" t="s">
        <v>52</v>
      </c>
      <c r="F10" s="4" t="s">
        <v>56</v>
      </c>
    </row>
    <row r="11" spans="1:6">
      <c r="E11" s="4" t="s">
        <v>53</v>
      </c>
      <c r="F11" s="4" t="s">
        <v>57</v>
      </c>
    </row>
    <row r="12" spans="1:6">
      <c r="E12" s="4" t="s">
        <v>54</v>
      </c>
      <c r="F12" s="4" t="s">
        <v>58</v>
      </c>
    </row>
    <row r="13" spans="1:6">
      <c r="E13" s="4" t="s">
        <v>55</v>
      </c>
      <c r="F13" s="4" t="s">
        <v>59</v>
      </c>
    </row>
    <row r="14" spans="1:6">
      <c r="E14" s="228" t="s">
        <v>121</v>
      </c>
      <c r="F14" s="228" t="s">
        <v>122</v>
      </c>
    </row>
    <row r="15" spans="1:6">
      <c r="E15" s="228" t="s">
        <v>69</v>
      </c>
      <c r="F15" s="228" t="s">
        <v>123</v>
      </c>
    </row>
    <row r="16" spans="1:6">
      <c r="E16" s="4" t="s">
        <v>70</v>
      </c>
      <c r="F16" s="4" t="s">
        <v>151</v>
      </c>
    </row>
    <row r="17" spans="1:6">
      <c r="E17" s="4" t="s">
        <v>71</v>
      </c>
      <c r="F17" s="4" t="s">
        <v>75</v>
      </c>
    </row>
    <row r="18" spans="1:6">
      <c r="E18" s="4" t="s">
        <v>72</v>
      </c>
      <c r="F18" s="4" t="s">
        <v>152</v>
      </c>
    </row>
    <row r="19" spans="1:6">
      <c r="E19" s="4" t="s">
        <v>73</v>
      </c>
      <c r="F19" s="4" t="s">
        <v>153</v>
      </c>
    </row>
    <row r="20" spans="1:6">
      <c r="E20" s="4" t="s">
        <v>74</v>
      </c>
      <c r="F20" s="4" t="s">
        <v>76</v>
      </c>
    </row>
    <row r="21" spans="1:6">
      <c r="E21" s="4" t="s">
        <v>78</v>
      </c>
      <c r="F21" s="4" t="s">
        <v>79</v>
      </c>
    </row>
    <row r="22" spans="1:6">
      <c r="E22" s="4" t="s">
        <v>7</v>
      </c>
      <c r="F22" s="4" t="s">
        <v>8</v>
      </c>
    </row>
    <row r="23" spans="1:6">
      <c r="E23" s="4" t="s">
        <v>60</v>
      </c>
      <c r="F23" s="4" t="s">
        <v>61</v>
      </c>
    </row>
    <row r="24" spans="1:6">
      <c r="E24" s="4" t="s">
        <v>62</v>
      </c>
      <c r="F24" s="4" t="s">
        <v>64</v>
      </c>
    </row>
    <row r="25" spans="1:6">
      <c r="E25" s="4" t="s">
        <v>63</v>
      </c>
      <c r="F25" s="4" t="s">
        <v>65</v>
      </c>
    </row>
    <row r="26" spans="1:6">
      <c r="E26" s="4" t="s">
        <v>9</v>
      </c>
      <c r="F26" s="4" t="s">
        <v>110</v>
      </c>
    </row>
    <row r="27" spans="1:6" s="226" customFormat="1">
      <c r="A27" s="1"/>
      <c r="C27" s="227"/>
      <c r="E27" s="14" t="s">
        <v>138</v>
      </c>
      <c r="F27" s="14" t="s">
        <v>139</v>
      </c>
    </row>
    <row r="28" spans="1:6">
      <c r="E28" s="4" t="s">
        <v>10</v>
      </c>
      <c r="F28" s="4" t="s">
        <v>111</v>
      </c>
    </row>
    <row r="29" spans="1:6">
      <c r="E29" s="2" t="s">
        <v>91</v>
      </c>
      <c r="F29" s="2" t="s">
        <v>112</v>
      </c>
    </row>
    <row r="30" spans="1:6">
      <c r="E30" s="4" t="s">
        <v>11</v>
      </c>
      <c r="F30" s="4" t="s">
        <v>12</v>
      </c>
    </row>
    <row r="31" spans="1:6">
      <c r="E31" s="4" t="s">
        <v>66</v>
      </c>
      <c r="F31" s="4" t="s">
        <v>113</v>
      </c>
    </row>
    <row r="32" spans="1:6">
      <c r="E32" s="4" t="s">
        <v>67</v>
      </c>
      <c r="F32" s="4" t="s">
        <v>68</v>
      </c>
    </row>
    <row r="33" spans="1:7">
      <c r="E33" s="4" t="s">
        <v>21</v>
      </c>
      <c r="F33" s="4" t="s">
        <v>22</v>
      </c>
    </row>
    <row r="34" spans="1:7">
      <c r="E34" s="4" t="s">
        <v>23</v>
      </c>
      <c r="F34" s="4" t="s">
        <v>24</v>
      </c>
    </row>
    <row r="35" spans="1:7">
      <c r="E35" s="4" t="s">
        <v>25</v>
      </c>
      <c r="F35" s="4" t="s">
        <v>114</v>
      </c>
    </row>
    <row r="36" spans="1:7" ht="24">
      <c r="E36" s="4" t="s">
        <v>15</v>
      </c>
      <c r="F36" s="4" t="s">
        <v>16</v>
      </c>
    </row>
    <row r="37" spans="1:7" ht="24">
      <c r="E37" s="4" t="s">
        <v>17</v>
      </c>
      <c r="F37" s="4" t="s">
        <v>18</v>
      </c>
    </row>
    <row r="38" spans="1:7" ht="48">
      <c r="E38" s="14" t="s">
        <v>19</v>
      </c>
      <c r="F38" s="14" t="s">
        <v>20</v>
      </c>
    </row>
    <row r="39" spans="1:7">
      <c r="E39" s="4" t="s">
        <v>13</v>
      </c>
      <c r="F39" s="4" t="s">
        <v>14</v>
      </c>
    </row>
    <row r="40" spans="1:7">
      <c r="E40" s="4" t="s">
        <v>96</v>
      </c>
      <c r="F40" s="4" t="s">
        <v>97</v>
      </c>
    </row>
    <row r="41" spans="1:7">
      <c r="E41" s="4" t="s">
        <v>99</v>
      </c>
      <c r="F41" s="4" t="s">
        <v>98</v>
      </c>
    </row>
    <row r="42" spans="1:7">
      <c r="E42" s="4" t="s">
        <v>89</v>
      </c>
      <c r="F42" s="4" t="s">
        <v>90</v>
      </c>
    </row>
    <row r="43" spans="1:7">
      <c r="E43" s="4" t="s">
        <v>80</v>
      </c>
      <c r="F43" s="4" t="s">
        <v>81</v>
      </c>
    </row>
    <row r="44" spans="1:7">
      <c r="E44" s="4" t="s">
        <v>95</v>
      </c>
      <c r="F44" s="4" t="s">
        <v>94</v>
      </c>
    </row>
    <row r="45" spans="1:7">
      <c r="E45" s="4" t="s">
        <v>82</v>
      </c>
      <c r="F45" s="4" t="s">
        <v>83</v>
      </c>
    </row>
    <row r="46" spans="1:7" customFormat="1" ht="15">
      <c r="A46" s="1"/>
      <c r="B46" s="2"/>
      <c r="C46" s="3"/>
      <c r="D46" s="2"/>
      <c r="E46" s="4" t="s">
        <v>104</v>
      </c>
      <c r="F46" s="4" t="s">
        <v>105</v>
      </c>
      <c r="G46" s="4"/>
    </row>
    <row r="47" spans="1:7" customFormat="1" ht="15">
      <c r="A47" s="1"/>
      <c r="B47" s="2"/>
      <c r="C47" s="3"/>
      <c r="D47" s="2"/>
      <c r="E47" s="4" t="s">
        <v>102</v>
      </c>
      <c r="F47" s="4" t="s">
        <v>103</v>
      </c>
      <c r="G47" s="4"/>
    </row>
    <row r="48" spans="1:7" ht="24">
      <c r="E48" s="228" t="s">
        <v>140</v>
      </c>
      <c r="F48" s="228" t="s">
        <v>141</v>
      </c>
    </row>
    <row r="49" spans="1:7" ht="24">
      <c r="E49" s="228" t="s">
        <v>126</v>
      </c>
      <c r="F49" s="228" t="s">
        <v>150</v>
      </c>
    </row>
    <row r="50" spans="1:7" ht="24">
      <c r="E50" s="228" t="s">
        <v>127</v>
      </c>
      <c r="F50" s="228" t="s">
        <v>128</v>
      </c>
    </row>
    <row r="51" spans="1:7" ht="24">
      <c r="E51" s="228" t="s">
        <v>129</v>
      </c>
      <c r="F51" s="228" t="s">
        <v>149</v>
      </c>
    </row>
    <row r="52" spans="1:7">
      <c r="E52" s="4" t="s">
        <v>125</v>
      </c>
      <c r="F52" s="4" t="s">
        <v>124</v>
      </c>
    </row>
    <row r="53" spans="1:7" s="226" customFormat="1">
      <c r="A53" s="1"/>
      <c r="C53" s="227"/>
      <c r="E53" s="228" t="s">
        <v>131</v>
      </c>
      <c r="F53" s="228" t="s">
        <v>132</v>
      </c>
    </row>
    <row r="54" spans="1:7" customFormat="1" ht="15">
      <c r="A54" s="1"/>
      <c r="B54" s="226"/>
      <c r="C54" s="227"/>
      <c r="D54" s="226"/>
      <c r="E54" s="14" t="s">
        <v>133</v>
      </c>
      <c r="F54" s="14" t="s">
        <v>134</v>
      </c>
      <c r="G54" s="228"/>
    </row>
    <row r="55" spans="1:7" customFormat="1" ht="15">
      <c r="A55" s="1"/>
      <c r="B55" s="226"/>
      <c r="C55" s="227"/>
      <c r="D55" s="226"/>
      <c r="E55" s="228" t="s">
        <v>135</v>
      </c>
      <c r="F55" s="228" t="s">
        <v>136</v>
      </c>
      <c r="G55" s="228"/>
    </row>
    <row r="56" spans="1:7">
      <c r="E56" s="228" t="s">
        <v>169</v>
      </c>
      <c r="F56" s="228" t="s">
        <v>170</v>
      </c>
    </row>
    <row r="57" spans="1:7">
      <c r="E57" s="4" t="s">
        <v>168</v>
      </c>
      <c r="F57" s="4" t="s">
        <v>167</v>
      </c>
    </row>
    <row r="58" spans="1:7">
      <c r="E58" s="4" t="s">
        <v>148</v>
      </c>
      <c r="F58" s="4" t="s">
        <v>154</v>
      </c>
    </row>
    <row r="59" spans="1:7">
      <c r="E59" s="4" t="s">
        <v>36</v>
      </c>
      <c r="F59" s="4" t="s">
        <v>155</v>
      </c>
    </row>
    <row r="60" spans="1:7">
      <c r="E60" s="4" t="s">
        <v>142</v>
      </c>
      <c r="F60" s="4" t="s">
        <v>156</v>
      </c>
    </row>
    <row r="61" spans="1:7">
      <c r="E61" s="4" t="s">
        <v>157</v>
      </c>
      <c r="F61" s="4" t="s">
        <v>162</v>
      </c>
    </row>
    <row r="62" spans="1:7">
      <c r="E62" s="4" t="s">
        <v>158</v>
      </c>
      <c r="F62" s="228" t="s">
        <v>163</v>
      </c>
    </row>
    <row r="63" spans="1:7">
      <c r="E63" s="4" t="s">
        <v>159</v>
      </c>
      <c r="F63" s="228" t="s">
        <v>164</v>
      </c>
    </row>
    <row r="64" spans="1:7">
      <c r="E64" s="4" t="s">
        <v>160</v>
      </c>
      <c r="F64" s="228" t="s">
        <v>165</v>
      </c>
    </row>
    <row r="65" spans="5:6">
      <c r="E65" s="4" t="s">
        <v>161</v>
      </c>
      <c r="F65" s="228" t="s">
        <v>166</v>
      </c>
    </row>
    <row r="66" spans="5:6">
      <c r="E66" s="4" t="s">
        <v>172</v>
      </c>
      <c r="F66" s="228" t="s">
        <v>173</v>
      </c>
    </row>
    <row r="67" spans="5:6">
      <c r="E67" s="14" t="s">
        <v>175</v>
      </c>
      <c r="F67" s="14" t="s">
        <v>176</v>
      </c>
    </row>
    <row r="68" spans="5:6">
      <c r="E68" s="228" t="s">
        <v>183</v>
      </c>
      <c r="F68" s="228" t="s">
        <v>184</v>
      </c>
    </row>
    <row r="69" spans="5:6" ht="24">
      <c r="E69" s="228" t="s">
        <v>179</v>
      </c>
      <c r="F69" s="228" t="s">
        <v>180</v>
      </c>
    </row>
    <row r="70" spans="5:6" ht="24">
      <c r="E70" s="228" t="s">
        <v>177</v>
      </c>
      <c r="F70" s="228" t="s">
        <v>181</v>
      </c>
    </row>
    <row r="71" spans="5:6" ht="24">
      <c r="E71" s="228" t="s">
        <v>178</v>
      </c>
      <c r="F71" s="228" t="s">
        <v>182</v>
      </c>
    </row>
    <row r="72" spans="5:6" ht="24">
      <c r="E72" s="228" t="s">
        <v>198</v>
      </c>
      <c r="F72" s="228" t="s">
        <v>199</v>
      </c>
    </row>
    <row r="73" spans="5:6">
      <c r="E73" s="228" t="s">
        <v>185</v>
      </c>
      <c r="F73" s="228" t="s">
        <v>186</v>
      </c>
    </row>
    <row r="74" spans="5:6">
      <c r="E74" s="228" t="s">
        <v>190</v>
      </c>
      <c r="F74" s="228" t="s">
        <v>191</v>
      </c>
    </row>
    <row r="75" spans="5:6" ht="24">
      <c r="E75" s="4" t="s">
        <v>192</v>
      </c>
      <c r="F75" s="4" t="s">
        <v>193</v>
      </c>
    </row>
    <row r="76" spans="5:6" ht="24">
      <c r="E76" s="4" t="s">
        <v>194</v>
      </c>
      <c r="F76" s="4" t="s">
        <v>195</v>
      </c>
    </row>
    <row r="77" spans="5:6">
      <c r="E77" s="4" t="s">
        <v>196</v>
      </c>
      <c r="F77" s="4" t="s">
        <v>197</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Cortec</vt:lpstr>
      <vt:lpstr>Configurator</vt:lpstr>
      <vt:lpstr>Master Text</vt:lpstr>
      <vt:lpstr>Accessories</vt:lpstr>
      <vt:lpstr>Database</vt:lpstr>
      <vt:lpstr>Date Drivers</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fcn</dc:creator>
  <cp:lastModifiedBy>Zapella, Marcelo (GE Power)</cp:lastModifiedBy>
  <dcterms:created xsi:type="dcterms:W3CDTF">2015-01-23T18:58:08Z</dcterms:created>
  <dcterms:modified xsi:type="dcterms:W3CDTF">2019-07-11T16:58:39Z</dcterms:modified>
</cp:coreProperties>
</file>